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Questa_cartella_di_lavoro"/>
  <mc:AlternateContent xmlns:mc="http://schemas.openxmlformats.org/markup-compatibility/2006">
    <mc:Choice Requires="x15">
      <x15ac:absPath xmlns:x15ac="http://schemas.microsoft.com/office/spreadsheetml/2010/11/ac" url="https://invitalia-my.sharepoint.com/personal/mcrebelli_invitalia_it/Documents/NITO 2.0/"/>
    </mc:Choice>
  </mc:AlternateContent>
  <xr:revisionPtr revIDLastSave="82" documentId="13_ncr:1_{A25DA9FD-2578-4733-A969-F2349BC08156}" xr6:coauthVersionLast="47" xr6:coauthVersionMax="47" xr10:uidLastSave="{2D7F78C9-7E1B-4483-A3D9-00FA0D21FC77}"/>
  <workbookProtection workbookAlgorithmName="SHA-512" workbookHashValue="upkQ9+978ZzUEv9sFD0WfpENUo/lbYYwM+pZUctitIycQ51Wj9rR9sfP0+c+cuOzV5jxb7N5kKTpr/Lk2hLNbQ==" workbookSaltValue="z19aiQk9iuSeLuTnVrqkQA==" workbookSpinCount="100000" lockStructure="1"/>
  <bookViews>
    <workbookView showHorizontalScroll="0" showVerticalScroll="0" showSheetTabs="0" xWindow="-28920" yWindow="-120" windowWidth="29040" windowHeight="15840" firstSheet="2" activeTab="2" xr2:uid="{00000000-000D-0000-FFFF-FFFF00000000}"/>
  </bookViews>
  <sheets>
    <sheet name="ESL_V2" sheetId="2" state="hidden" r:id="rId1"/>
    <sheet name="ESL_V2 (2)" sheetId="3" state="hidden" r:id="rId2"/>
    <sheet name="Foglio1" sheetId="1" r:id="rId3"/>
  </sheets>
  <externalReferences>
    <externalReference r:id="rId4"/>
    <externalReference r:id="rId5"/>
  </externalReferences>
  <definedNames>
    <definedName name="_xlnm.Print_Area" localSheetId="2">Foglio1!$A$1:$D$46</definedName>
    <definedName name="Contr_Perc" localSheetId="1">'[1]1-INPUT DATI'!#REF!</definedName>
    <definedName name="Contr_Perc">'[1]1-INPUT DATI'!#REF!</definedName>
    <definedName name="FORMA_GIURIDICA">[1]APPOGGIO!$A$65:$A$75</definedName>
    <definedName name="Formato_Garanzia">[1]APPOGGIO!$A$60:$A$61</definedName>
    <definedName name="Garanzia_Anticipo">[1]APPOGGIO!$A$56:$A$57</definedName>
    <definedName name="MODALITA_EROGAZIONE">[1]APPOGGIO!$A$88:$A$89</definedName>
    <definedName name="SETTORE">[1]APPOGGIO!$A$79:$A$84</definedName>
    <definedName name="SETTORI">'[2]TAGLI REPORT'!$AJ$9:$AJ$13</definedName>
    <definedName name="SI_NO">[1]APPOGGIO!$A$36:$A$37</definedName>
    <definedName name="solver_adj" localSheetId="0" hidden="1">ESL_V2!$C$13</definedName>
    <definedName name="solver_adj" localSheetId="1" hidden="1">'ESL_V2 (2)'!$C$13</definedName>
    <definedName name="solver_adj" localSheetId="2" hidden="1">Foglio1!$D$22:$D$29</definedName>
    <definedName name="solver_cvg" localSheetId="0" hidden="1">0.0001</definedName>
    <definedName name="solver_cvg" localSheetId="1" hidden="1">0.0001</definedName>
    <definedName name="solver_cvg" localSheetId="2" hidden="1">0.0001</definedName>
    <definedName name="solver_drv" localSheetId="0" hidden="1">1</definedName>
    <definedName name="solver_drv" localSheetId="1" hidden="1">1</definedName>
    <definedName name="solver_drv" localSheetId="2" hidden="1">1</definedName>
    <definedName name="solver_eng" localSheetId="0" hidden="1">1</definedName>
    <definedName name="solver_eng" localSheetId="1" hidden="1">1</definedName>
    <definedName name="solver_eng" localSheetId="2" hidden="1">1</definedName>
    <definedName name="solver_est" localSheetId="0" hidden="1">1</definedName>
    <definedName name="solver_est" localSheetId="1" hidden="1">1</definedName>
    <definedName name="solver_est" localSheetId="2" hidden="1">1</definedName>
    <definedName name="solver_itr" localSheetId="0" hidden="1">2147483647</definedName>
    <definedName name="solver_itr" localSheetId="1" hidden="1">2147483647</definedName>
    <definedName name="solver_itr" localSheetId="2" hidden="1">2147483647</definedName>
    <definedName name="solver_lhs1" localSheetId="2" hidden="1">Foglio1!$D$30</definedName>
    <definedName name="solver_mip" localSheetId="0" hidden="1">2147483647</definedName>
    <definedName name="solver_mip" localSheetId="1" hidden="1">2147483647</definedName>
    <definedName name="solver_mip" localSheetId="2" hidden="1">2147483647</definedName>
    <definedName name="solver_mni" localSheetId="0" hidden="1">30</definedName>
    <definedName name="solver_mni" localSheetId="1" hidden="1">30</definedName>
    <definedName name="solver_mni" localSheetId="2" hidden="1">30</definedName>
    <definedName name="solver_mrt" localSheetId="0" hidden="1">0.075</definedName>
    <definedName name="solver_mrt" localSheetId="1" hidden="1">0.075</definedName>
    <definedName name="solver_mrt" localSheetId="2" hidden="1">0.075</definedName>
    <definedName name="solver_msl" localSheetId="0" hidden="1">2</definedName>
    <definedName name="solver_msl" localSheetId="1" hidden="1">2</definedName>
    <definedName name="solver_msl" localSheetId="2" hidden="1">2</definedName>
    <definedName name="solver_neg" localSheetId="0" hidden="1">1</definedName>
    <definedName name="solver_neg" localSheetId="1" hidden="1">1</definedName>
    <definedName name="solver_neg" localSheetId="2" hidden="1">1</definedName>
    <definedName name="solver_nod" localSheetId="0" hidden="1">2147483647</definedName>
    <definedName name="solver_nod" localSheetId="1" hidden="1">2147483647</definedName>
    <definedName name="solver_nod" localSheetId="2" hidden="1">2147483647</definedName>
    <definedName name="solver_num" localSheetId="0" hidden="1">0</definedName>
    <definedName name="solver_num" localSheetId="1" hidden="1">0</definedName>
    <definedName name="solver_num" localSheetId="2" hidden="1">1</definedName>
    <definedName name="solver_nwt" localSheetId="0" hidden="1">1</definedName>
    <definedName name="solver_nwt" localSheetId="1" hidden="1">1</definedName>
    <definedName name="solver_nwt" localSheetId="2" hidden="1">1</definedName>
    <definedName name="solver_opt" localSheetId="0" hidden="1">ESL_V2!$D$9</definedName>
    <definedName name="solver_opt" localSheetId="1" hidden="1">'ESL_V2 (2)'!$D$9</definedName>
    <definedName name="solver_opt" localSheetId="2" hidden="1">Foglio1!$L$31</definedName>
    <definedName name="solver_pre" localSheetId="0" hidden="1">0.000001</definedName>
    <definedName name="solver_pre" localSheetId="1" hidden="1">0.000001</definedName>
    <definedName name="solver_pre" localSheetId="2" hidden="1">0.000001</definedName>
    <definedName name="solver_rbv" localSheetId="0" hidden="1">1</definedName>
    <definedName name="solver_rbv" localSheetId="1" hidden="1">1</definedName>
    <definedName name="solver_rbv" localSheetId="2" hidden="1">1</definedName>
    <definedName name="solver_rel1" localSheetId="2" hidden="1">2</definedName>
    <definedName name="solver_rhs1" localSheetId="2" hidden="1">1</definedName>
    <definedName name="solver_rlx" localSheetId="0" hidden="1">2</definedName>
    <definedName name="solver_rlx" localSheetId="1" hidden="1">2</definedName>
    <definedName name="solver_rlx" localSheetId="2" hidden="1">2</definedName>
    <definedName name="solver_rsd" localSheetId="0" hidden="1">0</definedName>
    <definedName name="solver_rsd" localSheetId="1" hidden="1">0</definedName>
    <definedName name="solver_rsd" localSheetId="2" hidden="1">0</definedName>
    <definedName name="solver_scl" localSheetId="0" hidden="1">1</definedName>
    <definedName name="solver_scl" localSheetId="1" hidden="1">1</definedName>
    <definedName name="solver_scl" localSheetId="2" hidden="1">1</definedName>
    <definedName name="solver_sho" localSheetId="0" hidden="1">2</definedName>
    <definedName name="solver_sho" localSheetId="1" hidden="1">2</definedName>
    <definedName name="solver_sho" localSheetId="2" hidden="1">2</definedName>
    <definedName name="solver_ssz" localSheetId="0" hidden="1">100</definedName>
    <definedName name="solver_ssz" localSheetId="1" hidden="1">100</definedName>
    <definedName name="solver_ssz" localSheetId="2" hidden="1">100</definedName>
    <definedName name="solver_tim" localSheetId="0" hidden="1">2147483647</definedName>
    <definedName name="solver_tim" localSheetId="1" hidden="1">2147483647</definedName>
    <definedName name="solver_tim" localSheetId="2" hidden="1">2147483647</definedName>
    <definedName name="solver_tol" localSheetId="0" hidden="1">0.01</definedName>
    <definedName name="solver_tol" localSheetId="1" hidden="1">0.01</definedName>
    <definedName name="solver_tol" localSheetId="2" hidden="1">0.01</definedName>
    <definedName name="solver_typ" localSheetId="0" hidden="1">3</definedName>
    <definedName name="solver_typ" localSheetId="1" hidden="1">3</definedName>
    <definedName name="solver_typ" localSheetId="2" hidden="1">1</definedName>
    <definedName name="solver_val" localSheetId="0" hidden="1">200000</definedName>
    <definedName name="solver_val" localSheetId="1" hidden="1">200000</definedName>
    <definedName name="solver_val" localSheetId="2" hidden="1">0.2</definedName>
    <definedName name="solver_ver" localSheetId="0" hidden="1">3</definedName>
    <definedName name="solver_ver" localSheetId="1" hidden="1">3</definedName>
    <definedName name="solver_ver" localSheetId="2" hidden="1">3</definedName>
    <definedName name="TIPO_VARIAZIONE">[1]APPOGGIO!$A$39:$A$43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3" l="1"/>
  <c r="F27" i="1" l="1"/>
  <c r="F29" i="1"/>
  <c r="C39" i="1" l="1"/>
  <c r="B4" i="3" l="1"/>
  <c r="B4" i="2" l="1"/>
  <c r="B7" i="2" s="1"/>
  <c r="N19" i="2" s="1"/>
  <c r="B7" i="3"/>
  <c r="N19" i="3" s="1"/>
  <c r="B35" i="3"/>
  <c r="G23" i="1"/>
  <c r="G24" i="1"/>
  <c r="G25" i="1"/>
  <c r="G26" i="1"/>
  <c r="G27" i="1"/>
  <c r="G28" i="1"/>
  <c r="G29" i="1"/>
  <c r="G22" i="1"/>
  <c r="B6" i="3"/>
  <c r="AC8" i="3" s="1"/>
  <c r="F28" i="1"/>
  <c r="F26" i="1"/>
  <c r="F25" i="1"/>
  <c r="F24" i="1"/>
  <c r="F23" i="1"/>
  <c r="F22" i="1"/>
  <c r="G30" i="1"/>
  <c r="U51" i="3"/>
  <c r="U53" i="3" s="1"/>
  <c r="U55" i="3" s="1"/>
  <c r="F40" i="3"/>
  <c r="E40" i="3"/>
  <c r="F39" i="3"/>
  <c r="F41" i="3" s="1"/>
  <c r="E39" i="3"/>
  <c r="E41" i="3" s="1"/>
  <c r="N38" i="3"/>
  <c r="N36" i="3"/>
  <c r="N26" i="3"/>
  <c r="D24" i="3"/>
  <c r="N21" i="3"/>
  <c r="N17" i="3"/>
  <c r="N37" i="3" s="1"/>
  <c r="BQ11" i="3"/>
  <c r="BG11" i="3"/>
  <c r="AW11" i="3"/>
  <c r="AM11" i="3"/>
  <c r="AC11" i="3"/>
  <c r="S11" i="3"/>
  <c r="O11" i="3"/>
  <c r="N10" i="3"/>
  <c r="N11" i="3" s="1"/>
  <c r="S9" i="3"/>
  <c r="AC9" i="3" s="1"/>
  <c r="AM9" i="3" s="1"/>
  <c r="AH7" i="3"/>
  <c r="BQ6" i="3"/>
  <c r="BV7" i="3" s="1"/>
  <c r="BG6" i="3"/>
  <c r="AW6" i="3"/>
  <c r="AM6" i="3"/>
  <c r="AR7" i="3" s="1"/>
  <c r="AC6" i="3"/>
  <c r="S6" i="3"/>
  <c r="C12" i="1"/>
  <c r="B14" i="1" s="1"/>
  <c r="D30" i="1"/>
  <c r="G32" i="1"/>
  <c r="G31" i="1"/>
  <c r="H31" i="1" s="1"/>
  <c r="D11" i="1"/>
  <c r="D10" i="1"/>
  <c r="AM8" i="3" l="1"/>
  <c r="AM17" i="3" s="1"/>
  <c r="BG8" i="3"/>
  <c r="BG24" i="3" s="1"/>
  <c r="AW8" i="3"/>
  <c r="AW24" i="3" s="1"/>
  <c r="H23" i="1"/>
  <c r="BQ7" i="3"/>
  <c r="D26" i="3"/>
  <c r="N25" i="3"/>
  <c r="N33" i="3"/>
  <c r="BQ8" i="3"/>
  <c r="BQ24" i="3" s="1"/>
  <c r="AC7" i="3"/>
  <c r="AM7" i="3"/>
  <c r="BG7" i="3"/>
  <c r="S8" i="3"/>
  <c r="W54" i="3" s="1"/>
  <c r="W55" i="3" s="1"/>
  <c r="W51" i="3" s="1"/>
  <c r="N18" i="3"/>
  <c r="N30" i="3" s="1"/>
  <c r="S7" i="3"/>
  <c r="G8" i="1"/>
  <c r="P30" i="1" s="1"/>
  <c r="H25" i="1"/>
  <c r="I25" i="1" s="1"/>
  <c r="H24" i="1"/>
  <c r="H26" i="1"/>
  <c r="B17" i="2" s="1"/>
  <c r="H22" i="1"/>
  <c r="H30" i="1"/>
  <c r="B31" i="1" s="1"/>
  <c r="AW9" i="3"/>
  <c r="BG9" i="3" s="1"/>
  <c r="BQ9" i="3" s="1"/>
  <c r="AC17" i="3"/>
  <c r="N39" i="3"/>
  <c r="AC24" i="3"/>
  <c r="AW7" i="3"/>
  <c r="BB7" i="3"/>
  <c r="X7" i="3"/>
  <c r="BL7" i="3"/>
  <c r="AC13" i="3"/>
  <c r="N27" i="3"/>
  <c r="N32" i="3" s="1"/>
  <c r="N40" i="3"/>
  <c r="N41" i="3"/>
  <c r="N29" i="3"/>
  <c r="N28" i="3"/>
  <c r="N45" i="3"/>
  <c r="AM24" i="3" l="1"/>
  <c r="BQ17" i="3"/>
  <c r="N42" i="3"/>
  <c r="AM13" i="3"/>
  <c r="N43" i="3"/>
  <c r="N44" i="3"/>
  <c r="Q35" i="3"/>
  <c r="S24" i="3"/>
  <c r="S13" i="3"/>
  <c r="S17" i="3"/>
  <c r="I22" i="1"/>
  <c r="J22" i="1" s="1"/>
  <c r="B13" i="2"/>
  <c r="I24" i="1"/>
  <c r="B15" i="2"/>
  <c r="B16" i="3"/>
  <c r="B33" i="3" s="1"/>
  <c r="B16" i="2"/>
  <c r="I23" i="1"/>
  <c r="B14" i="2"/>
  <c r="I26" i="1"/>
  <c r="B17" i="3"/>
  <c r="B34" i="3" s="1"/>
  <c r="B15" i="3"/>
  <c r="B32" i="3" s="1"/>
  <c r="B14" i="3"/>
  <c r="B31" i="3" s="1"/>
  <c r="B13" i="3"/>
  <c r="AW13" i="3"/>
  <c r="AW17" i="3"/>
  <c r="BG17" i="3"/>
  <c r="BQ13" i="3"/>
  <c r="N31" i="3"/>
  <c r="BG13" i="3"/>
  <c r="N46" i="3" l="1"/>
  <c r="B39" i="3"/>
  <c r="B30" i="3"/>
  <c r="B40" i="3" s="1"/>
  <c r="N34" i="3"/>
  <c r="O34" i="3"/>
  <c r="O35" i="3" s="1"/>
  <c r="O36" i="3" s="1"/>
  <c r="N14" i="3" l="1"/>
  <c r="C39" i="3"/>
  <c r="B24" i="3"/>
  <c r="G39" i="3"/>
  <c r="G40" i="3"/>
  <c r="H13" i="3" l="1"/>
  <c r="V42" i="3" s="1"/>
  <c r="J18" i="3"/>
  <c r="H18" i="3"/>
  <c r="BT42" i="3" s="1"/>
  <c r="H14" i="3"/>
  <c r="AF42" i="3" s="1"/>
  <c r="H15" i="3"/>
  <c r="AP42" i="3" s="1"/>
  <c r="H16" i="3"/>
  <c r="AZ42" i="3" s="1"/>
  <c r="L18" i="3"/>
  <c r="H17" i="3"/>
  <c r="BJ42" i="3" s="1"/>
  <c r="D40" i="3"/>
  <c r="H40" i="3" s="1"/>
  <c r="N24" i="3"/>
  <c r="G41" i="3"/>
  <c r="D41" i="3" s="1"/>
  <c r="H41" i="3" s="1"/>
  <c r="D39" i="3"/>
  <c r="H39" i="3" s="1"/>
  <c r="I39" i="3" s="1"/>
  <c r="B23" i="3" s="1"/>
  <c r="C43" i="3" l="1"/>
  <c r="D18" i="3"/>
  <c r="D13" i="3" l="1"/>
  <c r="G13" i="3" s="1"/>
  <c r="S20" i="3" s="1"/>
  <c r="D15" i="3"/>
  <c r="G15" i="3" s="1"/>
  <c r="AM20" i="3" s="1"/>
  <c r="D16" i="3"/>
  <c r="D17" i="3"/>
  <c r="E17" i="3" s="1"/>
  <c r="D14" i="3"/>
  <c r="E14" i="3" s="1"/>
  <c r="E18" i="3"/>
  <c r="G18" i="3"/>
  <c r="BQ20" i="3" s="1"/>
  <c r="E13" i="3" l="1"/>
  <c r="F13" i="3" s="1"/>
  <c r="S15" i="3" s="1"/>
  <c r="E16" i="3"/>
  <c r="AW14" i="3" s="1"/>
  <c r="G16" i="3"/>
  <c r="AW20" i="3" s="1"/>
  <c r="AW25" i="3" s="1"/>
  <c r="AZ40" i="3" s="1"/>
  <c r="G14" i="3"/>
  <c r="AC20" i="3" s="1"/>
  <c r="AC22" i="3" s="1"/>
  <c r="E15" i="3"/>
  <c r="F15" i="3" s="1"/>
  <c r="AM15" i="3" s="1"/>
  <c r="G17" i="3"/>
  <c r="BG20" i="3" s="1"/>
  <c r="BG25" i="3" s="1"/>
  <c r="BJ40" i="3" s="1"/>
  <c r="BQ25" i="3"/>
  <c r="BT40" i="3" s="1"/>
  <c r="BQ22" i="3"/>
  <c r="F17" i="3"/>
  <c r="BG15" i="3" s="1"/>
  <c r="BG14" i="3"/>
  <c r="BQ14" i="3"/>
  <c r="F18" i="3"/>
  <c r="BQ15" i="3" s="1"/>
  <c r="AM25" i="3"/>
  <c r="AP40" i="3" s="1"/>
  <c r="AM22" i="3"/>
  <c r="S25" i="3"/>
  <c r="V40" i="3" s="1"/>
  <c r="S22" i="3"/>
  <c r="AC14" i="3"/>
  <c r="F14" i="3"/>
  <c r="AM14" i="3" l="1"/>
  <c r="AP8" i="3" s="1"/>
  <c r="AP34" i="3" s="1"/>
  <c r="AW22" i="3"/>
  <c r="F16" i="3"/>
  <c r="AW15" i="3" s="1"/>
  <c r="BG22" i="3"/>
  <c r="S14" i="3"/>
  <c r="V8" i="3" s="1"/>
  <c r="V34" i="3" s="1"/>
  <c r="AC25" i="3"/>
  <c r="AF40" i="3" s="1"/>
  <c r="AW16" i="3"/>
  <c r="AZ8" i="3"/>
  <c r="BG16" i="3"/>
  <c r="BJ8" i="3"/>
  <c r="BJ34" i="3" s="1"/>
  <c r="AC15" i="3"/>
  <c r="AC16" i="3"/>
  <c r="AF8" i="3"/>
  <c r="AF34" i="3" s="1"/>
  <c r="BT8" i="3"/>
  <c r="BT34" i="3" s="1"/>
  <c r="BQ16" i="3"/>
  <c r="AM16" i="3" l="1"/>
  <c r="AM18" i="3" s="1"/>
  <c r="AZ34" i="3"/>
  <c r="S16" i="3"/>
  <c r="S18" i="3" s="1"/>
  <c r="BH18" i="3"/>
  <c r="BG18" i="3"/>
  <c r="BQ18" i="3"/>
  <c r="BR18" i="3"/>
  <c r="AC18" i="3"/>
  <c r="AD18" i="3"/>
  <c r="AX18" i="3"/>
  <c r="AW18" i="3"/>
  <c r="AN18" i="3" l="1"/>
  <c r="T18" i="3"/>
  <c r="AQ27" i="3"/>
  <c r="AQ12" i="3"/>
  <c r="AQ11" i="3"/>
  <c r="AQ18" i="3"/>
  <c r="AQ24" i="3"/>
  <c r="AQ22" i="3"/>
  <c r="AQ8" i="3"/>
  <c r="AS8" i="3" s="1"/>
  <c r="AR8" i="3" s="1"/>
  <c r="AP9" i="3" s="1"/>
  <c r="AQ17" i="3"/>
  <c r="AQ14" i="3"/>
  <c r="AQ26" i="3"/>
  <c r="AQ25" i="3"/>
  <c r="AQ9" i="3"/>
  <c r="AQ16" i="3"/>
  <c r="AQ23" i="3"/>
  <c r="AQ10" i="3"/>
  <c r="AQ13" i="3"/>
  <c r="AQ15" i="3"/>
  <c r="AQ20" i="3"/>
  <c r="AQ19" i="3"/>
  <c r="AQ21" i="3"/>
  <c r="BU21" i="3"/>
  <c r="BU19" i="3"/>
  <c r="BU17" i="3"/>
  <c r="BU15" i="3"/>
  <c r="BU9" i="3"/>
  <c r="BU16" i="3"/>
  <c r="BU12" i="3"/>
  <c r="BU24" i="3"/>
  <c r="BU11" i="3"/>
  <c r="BU13" i="3"/>
  <c r="BU10" i="3"/>
  <c r="BU8" i="3"/>
  <c r="BW8" i="3" s="1"/>
  <c r="BV8" i="3" s="1"/>
  <c r="BT9" i="3" s="1"/>
  <c r="BU20" i="3"/>
  <c r="BU27" i="3"/>
  <c r="BU25" i="3"/>
  <c r="BU18" i="3"/>
  <c r="BU26" i="3"/>
  <c r="BU23" i="3"/>
  <c r="BU22" i="3"/>
  <c r="BU14" i="3"/>
  <c r="AG14" i="3"/>
  <c r="AG24" i="3"/>
  <c r="AG13" i="3"/>
  <c r="AG8" i="3"/>
  <c r="AI8" i="3" s="1"/>
  <c r="AH8" i="3" s="1"/>
  <c r="AF9" i="3" s="1"/>
  <c r="AG20" i="3"/>
  <c r="AG27" i="3"/>
  <c r="AG23" i="3"/>
  <c r="AG25" i="3"/>
  <c r="AG16" i="3"/>
  <c r="AG21" i="3"/>
  <c r="AG22" i="3"/>
  <c r="AG19" i="3"/>
  <c r="AG26" i="3"/>
  <c r="AG10" i="3"/>
  <c r="AG17" i="3"/>
  <c r="AG12" i="3"/>
  <c r="AG15" i="3"/>
  <c r="AG11" i="3"/>
  <c r="AG18" i="3"/>
  <c r="AG9" i="3"/>
  <c r="BA15" i="3"/>
  <c r="BA13" i="3"/>
  <c r="BA11" i="3"/>
  <c r="BA14" i="3"/>
  <c r="BA23" i="3"/>
  <c r="BA19" i="3"/>
  <c r="BA20" i="3"/>
  <c r="BA25" i="3"/>
  <c r="BA8" i="3"/>
  <c r="BC8" i="3" s="1"/>
  <c r="BB8" i="3" s="1"/>
  <c r="AZ9" i="3" s="1"/>
  <c r="BA21" i="3"/>
  <c r="BA27" i="3"/>
  <c r="BA17" i="3"/>
  <c r="BA12" i="3"/>
  <c r="BA16" i="3"/>
  <c r="BA18" i="3"/>
  <c r="BA26" i="3"/>
  <c r="BA22" i="3"/>
  <c r="BA10" i="3"/>
  <c r="BA24" i="3"/>
  <c r="BA9" i="3"/>
  <c r="BK27" i="3"/>
  <c r="BK11" i="3"/>
  <c r="BK18" i="3"/>
  <c r="BK24" i="3"/>
  <c r="BK17" i="3"/>
  <c r="BK26" i="3"/>
  <c r="BK8" i="3"/>
  <c r="BM8" i="3" s="1"/>
  <c r="BL8" i="3" s="1"/>
  <c r="BJ9" i="3" s="1"/>
  <c r="BK22" i="3"/>
  <c r="BK20" i="3"/>
  <c r="BK21" i="3"/>
  <c r="BK14" i="3"/>
  <c r="BK10" i="3"/>
  <c r="BK9" i="3"/>
  <c r="BK13" i="3"/>
  <c r="BK25" i="3"/>
  <c r="BK19" i="3"/>
  <c r="BK23" i="3"/>
  <c r="BK16" i="3"/>
  <c r="BK15" i="3"/>
  <c r="BK12" i="3"/>
  <c r="W20" i="3"/>
  <c r="W18" i="3"/>
  <c r="W12" i="3"/>
  <c r="W23" i="3"/>
  <c r="W17" i="3"/>
  <c r="W24" i="3"/>
  <c r="W22" i="3"/>
  <c r="W16" i="3"/>
  <c r="W15" i="3"/>
  <c r="W27" i="3"/>
  <c r="W21" i="3"/>
  <c r="W9" i="3"/>
  <c r="W13" i="3"/>
  <c r="W10" i="3"/>
  <c r="W14" i="3"/>
  <c r="W25" i="3"/>
  <c r="W26" i="3"/>
  <c r="W11" i="3"/>
  <c r="W8" i="3"/>
  <c r="Y8" i="3" s="1"/>
  <c r="X8" i="3" s="1"/>
  <c r="V9" i="3" s="1"/>
  <c r="W19" i="3"/>
  <c r="BC9" i="3" l="1"/>
  <c r="BB9" i="3" s="1"/>
  <c r="AZ10" i="3" s="1"/>
  <c r="BC10" i="3" s="1"/>
  <c r="BB10" i="3" s="1"/>
  <c r="AZ11" i="3" s="1"/>
  <c r="BC11" i="3" s="1"/>
  <c r="BB11" i="3" s="1"/>
  <c r="AZ12" i="3" s="1"/>
  <c r="BC12" i="3" s="1"/>
  <c r="BB12" i="3" s="1"/>
  <c r="Y9" i="3"/>
  <c r="X9" i="3" s="1"/>
  <c r="V10" i="3" s="1"/>
  <c r="Y10" i="3" s="1"/>
  <c r="X10" i="3" s="1"/>
  <c r="V11" i="3" s="1"/>
  <c r="Y11" i="3" s="1"/>
  <c r="X11" i="3" s="1"/>
  <c r="V12" i="3" s="1"/>
  <c r="Y12" i="3" s="1"/>
  <c r="X12" i="3" s="1"/>
  <c r="BM9" i="3"/>
  <c r="BL9" i="3" s="1"/>
  <c r="BJ10" i="3" s="1"/>
  <c r="BM10" i="3" s="1"/>
  <c r="BL10" i="3" s="1"/>
  <c r="BJ11" i="3" s="1"/>
  <c r="BM11" i="3" s="1"/>
  <c r="BL11" i="3" s="1"/>
  <c r="AI9" i="3"/>
  <c r="AH9" i="3" s="1"/>
  <c r="AF10" i="3" s="1"/>
  <c r="AI10" i="3" s="1"/>
  <c r="AH10" i="3" s="1"/>
  <c r="AF11" i="3" s="1"/>
  <c r="AI11" i="3" s="1"/>
  <c r="AH11" i="3" s="1"/>
  <c r="AF12" i="3" s="1"/>
  <c r="AI12" i="3" s="1"/>
  <c r="AH12" i="3" s="1"/>
  <c r="AF13" i="3" s="1"/>
  <c r="AI13" i="3" s="1"/>
  <c r="AH13" i="3" s="1"/>
  <c r="AS9" i="3"/>
  <c r="AR9" i="3" s="1"/>
  <c r="AP10" i="3" s="1"/>
  <c r="AS10" i="3" s="1"/>
  <c r="AR10" i="3" s="1"/>
  <c r="AP11" i="3" s="1"/>
  <c r="AS11" i="3" s="1"/>
  <c r="AR11" i="3" s="1"/>
  <c r="BW9" i="3"/>
  <c r="BV9" i="3" s="1"/>
  <c r="BT10" i="3" s="1"/>
  <c r="BW10" i="3" s="1"/>
  <c r="BV10" i="3" s="1"/>
  <c r="BT11" i="3" s="1"/>
  <c r="BW11" i="3" s="1"/>
  <c r="BV11" i="3" s="1"/>
  <c r="AF14" i="3" l="1"/>
  <c r="AI14" i="3" s="1"/>
  <c r="AH14" i="3" s="1"/>
  <c r="AZ13" i="3"/>
  <c r="BC13" i="3" s="1"/>
  <c r="BB13" i="3" s="1"/>
  <c r="BJ12" i="3"/>
  <c r="BM12" i="3" s="1"/>
  <c r="BL12" i="3" s="1"/>
  <c r="BT12" i="3"/>
  <c r="BW12" i="3" s="1"/>
  <c r="BV12" i="3" s="1"/>
  <c r="V13" i="3"/>
  <c r="Y13" i="3" s="1"/>
  <c r="X13" i="3" s="1"/>
  <c r="AP12" i="3"/>
  <c r="AS12" i="3" s="1"/>
  <c r="AR12" i="3" s="1"/>
  <c r="AP13" i="3" l="1"/>
  <c r="AS13" i="3" s="1"/>
  <c r="AR13" i="3" s="1"/>
  <c r="V14" i="3"/>
  <c r="Y14" i="3" s="1"/>
  <c r="X14" i="3" s="1"/>
  <c r="BT13" i="3"/>
  <c r="BW13" i="3" s="1"/>
  <c r="BV13" i="3" s="1"/>
  <c r="AZ14" i="3"/>
  <c r="BC14" i="3" s="1"/>
  <c r="BB14" i="3" s="1"/>
  <c r="BJ13" i="3"/>
  <c r="BM13" i="3" s="1"/>
  <c r="BL13" i="3" s="1"/>
  <c r="AF15" i="3"/>
  <c r="AI15" i="3" s="1"/>
  <c r="AH15" i="3" s="1"/>
  <c r="AF16" i="3" l="1"/>
  <c r="AI16" i="3" s="1"/>
  <c r="AH16" i="3" s="1"/>
  <c r="AZ15" i="3"/>
  <c r="BC15" i="3" s="1"/>
  <c r="BB15" i="3" s="1"/>
  <c r="BT14" i="3"/>
  <c r="BW14" i="3" s="1"/>
  <c r="BV14" i="3" s="1"/>
  <c r="V15" i="3"/>
  <c r="Y15" i="3" s="1"/>
  <c r="X15" i="3" s="1"/>
  <c r="AP14" i="3"/>
  <c r="AS14" i="3" s="1"/>
  <c r="AR14" i="3" s="1"/>
  <c r="BJ14" i="3"/>
  <c r="BM14" i="3" s="1"/>
  <c r="BL14" i="3" s="1"/>
  <c r="BJ15" i="3" l="1"/>
  <c r="BM15" i="3" s="1"/>
  <c r="BL15" i="3" s="1"/>
  <c r="V16" i="3"/>
  <c r="Y16" i="3" s="1"/>
  <c r="X16" i="3" s="1"/>
  <c r="BT15" i="3"/>
  <c r="BW15" i="3" s="1"/>
  <c r="BV15" i="3" s="1"/>
  <c r="AZ16" i="3"/>
  <c r="BC16" i="3" s="1"/>
  <c r="BB16" i="3" s="1"/>
  <c r="AF17" i="3"/>
  <c r="AI17" i="3" s="1"/>
  <c r="AH17" i="3" s="1"/>
  <c r="AP15" i="3"/>
  <c r="AS15" i="3" s="1"/>
  <c r="AR15" i="3" s="1"/>
  <c r="AZ17" i="3" l="1"/>
  <c r="BC17" i="3" s="1"/>
  <c r="BB17" i="3" s="1"/>
  <c r="AF18" i="3"/>
  <c r="AI18" i="3" s="1"/>
  <c r="AH18" i="3" s="1"/>
  <c r="BT16" i="3"/>
  <c r="BW16" i="3" s="1"/>
  <c r="BV16" i="3" s="1"/>
  <c r="V17" i="3"/>
  <c r="Y17" i="3" s="1"/>
  <c r="X17" i="3" s="1"/>
  <c r="BJ16" i="3"/>
  <c r="BM16" i="3" s="1"/>
  <c r="BL16" i="3" s="1"/>
  <c r="AP16" i="3"/>
  <c r="AS16" i="3" s="1"/>
  <c r="AR16" i="3" s="1"/>
  <c r="AP17" i="3" l="1"/>
  <c r="AS17" i="3" s="1"/>
  <c r="AR17" i="3" s="1"/>
  <c r="BT17" i="3"/>
  <c r="BW17" i="3" s="1"/>
  <c r="BV17" i="3" s="1"/>
  <c r="V18" i="3"/>
  <c r="Y18" i="3" s="1"/>
  <c r="X18" i="3" s="1"/>
  <c r="AF19" i="3"/>
  <c r="AI19" i="3" s="1"/>
  <c r="AH19" i="3" s="1"/>
  <c r="BJ17" i="3"/>
  <c r="BM17" i="3" s="1"/>
  <c r="BL17" i="3" s="1"/>
  <c r="AZ18" i="3"/>
  <c r="BC18" i="3" s="1"/>
  <c r="BB18" i="3" s="1"/>
  <c r="AF20" i="3" l="1"/>
  <c r="AI20" i="3" s="1"/>
  <c r="AH20" i="3" s="1"/>
  <c r="BJ18" i="3"/>
  <c r="BM18" i="3" s="1"/>
  <c r="BL18" i="3" s="1"/>
  <c r="V19" i="3"/>
  <c r="Y19" i="3" s="1"/>
  <c r="X19" i="3" s="1"/>
  <c r="BT18" i="3"/>
  <c r="BW18" i="3" s="1"/>
  <c r="BV18" i="3" s="1"/>
  <c r="AZ19" i="3"/>
  <c r="BC19" i="3" s="1"/>
  <c r="BB19" i="3" s="1"/>
  <c r="AP18" i="3"/>
  <c r="AS18" i="3" s="1"/>
  <c r="AR18" i="3" s="1"/>
  <c r="AF21" i="3" l="1"/>
  <c r="AI21" i="3" s="1"/>
  <c r="AH21" i="3" s="1"/>
  <c r="AP19" i="3"/>
  <c r="AS19" i="3" s="1"/>
  <c r="AR19" i="3" s="1"/>
  <c r="BT19" i="3"/>
  <c r="BW19" i="3" s="1"/>
  <c r="BV19" i="3" s="1"/>
  <c r="V20" i="3"/>
  <c r="Y20" i="3" s="1"/>
  <c r="X20" i="3" s="1"/>
  <c r="BJ19" i="3"/>
  <c r="BM19" i="3" s="1"/>
  <c r="BL19" i="3" s="1"/>
  <c r="AZ20" i="3"/>
  <c r="BC20" i="3" s="1"/>
  <c r="BB20" i="3" s="1"/>
  <c r="BJ20" i="3" l="1"/>
  <c r="BM20" i="3" s="1"/>
  <c r="BL20" i="3" s="1"/>
  <c r="AZ21" i="3"/>
  <c r="BC21" i="3" s="1"/>
  <c r="BB21" i="3" s="1"/>
  <c r="BT20" i="3"/>
  <c r="BW20" i="3" s="1"/>
  <c r="BV20" i="3" s="1"/>
  <c r="AP20" i="3"/>
  <c r="AS20" i="3" s="1"/>
  <c r="AR20" i="3" s="1"/>
  <c r="V21" i="3"/>
  <c r="Y21" i="3" s="1"/>
  <c r="X21" i="3" s="1"/>
  <c r="AF22" i="3"/>
  <c r="AI22" i="3" s="1"/>
  <c r="AH22" i="3" s="1"/>
  <c r="AF23" i="3" l="1"/>
  <c r="AI23" i="3" s="1"/>
  <c r="AH23" i="3" s="1"/>
  <c r="V22" i="3"/>
  <c r="Y22" i="3" s="1"/>
  <c r="X22" i="3" s="1"/>
  <c r="BT21" i="3"/>
  <c r="BW21" i="3" s="1"/>
  <c r="BV21" i="3" s="1"/>
  <c r="BJ21" i="3"/>
  <c r="BM21" i="3" s="1"/>
  <c r="BL21" i="3" s="1"/>
  <c r="AP21" i="3"/>
  <c r="AS21" i="3" s="1"/>
  <c r="AR21" i="3" s="1"/>
  <c r="AZ22" i="3"/>
  <c r="BC22" i="3" s="1"/>
  <c r="BB22" i="3" s="1"/>
  <c r="AZ23" i="3" l="1"/>
  <c r="BC23" i="3" s="1"/>
  <c r="BB23" i="3" s="1"/>
  <c r="BJ22" i="3"/>
  <c r="BM22" i="3" s="1"/>
  <c r="BL22" i="3" s="1"/>
  <c r="V23" i="3"/>
  <c r="Y23" i="3" s="1"/>
  <c r="X23" i="3" s="1"/>
  <c r="BT22" i="3"/>
  <c r="BW22" i="3" s="1"/>
  <c r="BV22" i="3" s="1"/>
  <c r="AF24" i="3"/>
  <c r="AI24" i="3" s="1"/>
  <c r="AH24" i="3" s="1"/>
  <c r="AP22" i="3"/>
  <c r="AS22" i="3" s="1"/>
  <c r="AR22" i="3" s="1"/>
  <c r="BT23" i="3" l="1"/>
  <c r="BW23" i="3" s="1"/>
  <c r="BV23" i="3" s="1"/>
  <c r="AP23" i="3"/>
  <c r="AS23" i="3" s="1"/>
  <c r="AR23" i="3" s="1"/>
  <c r="AF25" i="3"/>
  <c r="AI25" i="3" s="1"/>
  <c r="AH25" i="3" s="1"/>
  <c r="V24" i="3"/>
  <c r="Y24" i="3" s="1"/>
  <c r="X24" i="3" s="1"/>
  <c r="BJ23" i="3"/>
  <c r="BM23" i="3" s="1"/>
  <c r="BL23" i="3" s="1"/>
  <c r="AZ24" i="3"/>
  <c r="BC24" i="3" s="1"/>
  <c r="BB24" i="3" s="1"/>
  <c r="AZ25" i="3" l="1"/>
  <c r="BC25" i="3" s="1"/>
  <c r="BB25" i="3" s="1"/>
  <c r="V25" i="3"/>
  <c r="Y25" i="3" s="1"/>
  <c r="X25" i="3" s="1"/>
  <c r="AF26" i="3"/>
  <c r="AI26" i="3" s="1"/>
  <c r="AH26" i="3" s="1"/>
  <c r="AP24" i="3"/>
  <c r="AS24" i="3" s="1"/>
  <c r="AR24" i="3" s="1"/>
  <c r="BJ24" i="3"/>
  <c r="BM24" i="3" s="1"/>
  <c r="BL24" i="3" s="1"/>
  <c r="BT24" i="3"/>
  <c r="BW24" i="3" s="1"/>
  <c r="BV24" i="3" s="1"/>
  <c r="BJ25" i="3" l="1"/>
  <c r="BM25" i="3" s="1"/>
  <c r="BL25" i="3" s="1"/>
  <c r="AP25" i="3"/>
  <c r="AS25" i="3" s="1"/>
  <c r="AR25" i="3" s="1"/>
  <c r="V26" i="3"/>
  <c r="Y26" i="3" s="1"/>
  <c r="X26" i="3" s="1"/>
  <c r="AZ26" i="3"/>
  <c r="BC26" i="3" s="1"/>
  <c r="BB26" i="3" s="1"/>
  <c r="AF27" i="3"/>
  <c r="BT25" i="3"/>
  <c r="BW25" i="3" s="1"/>
  <c r="BV25" i="3" s="1"/>
  <c r="E8" i="1"/>
  <c r="E4" i="1"/>
  <c r="BT26" i="3" l="1"/>
  <c r="BW26" i="3" s="1"/>
  <c r="BV26" i="3" s="1"/>
  <c r="AZ27" i="3"/>
  <c r="V27" i="3"/>
  <c r="AP26" i="3"/>
  <c r="AS26" i="3" s="1"/>
  <c r="AR26" i="3" s="1"/>
  <c r="BJ26" i="3"/>
  <c r="BM26" i="3" s="1"/>
  <c r="BL26" i="3" s="1"/>
  <c r="AI27" i="3"/>
  <c r="AH27" i="3" s="1"/>
  <c r="AF30" i="3"/>
  <c r="AF32" i="3" s="1"/>
  <c r="AF36" i="3" s="1"/>
  <c r="AF38" i="3" s="1"/>
  <c r="AF44" i="3" s="1"/>
  <c r="AG44" i="3" s="1"/>
  <c r="BJ27" i="3" l="1"/>
  <c r="AP27" i="3"/>
  <c r="BT27" i="3"/>
  <c r="Y27" i="3"/>
  <c r="X27" i="3" s="1"/>
  <c r="V30" i="3"/>
  <c r="V32" i="3" s="1"/>
  <c r="V36" i="3" s="1"/>
  <c r="V38" i="3" s="1"/>
  <c r="V44" i="3" s="1"/>
  <c r="BC27" i="3"/>
  <c r="BB27" i="3" s="1"/>
  <c r="AZ30" i="3"/>
  <c r="AZ32" i="3" s="1"/>
  <c r="AZ36" i="3" s="1"/>
  <c r="AZ38" i="3" s="1"/>
  <c r="AZ44" i="3" s="1"/>
  <c r="BA44" i="3" s="1"/>
  <c r="BM27" i="3" l="1"/>
  <c r="BL27" i="3" s="1"/>
  <c r="BJ30" i="3"/>
  <c r="BJ32" i="3" s="1"/>
  <c r="BJ36" i="3" s="1"/>
  <c r="BJ38" i="3" s="1"/>
  <c r="BJ44" i="3" s="1"/>
  <c r="BK44" i="3" s="1"/>
  <c r="W44" i="3"/>
  <c r="BW27" i="3"/>
  <c r="BV27" i="3" s="1"/>
  <c r="BT30" i="3"/>
  <c r="BT32" i="3" s="1"/>
  <c r="BT36" i="3" s="1"/>
  <c r="BT38" i="3" s="1"/>
  <c r="BT44" i="3" s="1"/>
  <c r="BU44" i="3" s="1"/>
  <c r="AS27" i="3"/>
  <c r="AR27" i="3" s="1"/>
  <c r="AP30" i="3"/>
  <c r="AP32" i="3" s="1"/>
  <c r="AP36" i="3" s="1"/>
  <c r="AP38" i="3" s="1"/>
  <c r="AP44" i="3" s="1"/>
  <c r="AQ44" i="3" s="1"/>
  <c r="D4" i="3" l="1"/>
  <c r="AC11" i="2" l="1"/>
  <c r="AC7" i="2"/>
  <c r="S9" i="2" l="1"/>
  <c r="AC9" i="2" s="1"/>
  <c r="U51" i="2"/>
  <c r="U53" i="2" s="1"/>
  <c r="U55" i="2" s="1"/>
  <c r="F40" i="2"/>
  <c r="E40" i="2"/>
  <c r="F39" i="2"/>
  <c r="F41" i="2" s="1"/>
  <c r="E39" i="2"/>
  <c r="E41" i="2" s="1"/>
  <c r="N38" i="2"/>
  <c r="N36" i="2"/>
  <c r="B35" i="2"/>
  <c r="B34" i="2"/>
  <c r="B33" i="2"/>
  <c r="B31" i="2"/>
  <c r="N26" i="2"/>
  <c r="D24" i="2"/>
  <c r="D23" i="2"/>
  <c r="D26" i="2" s="1"/>
  <c r="N17" i="2"/>
  <c r="BQ11" i="2"/>
  <c r="BG11" i="2"/>
  <c r="AW11" i="2"/>
  <c r="AM11" i="2"/>
  <c r="S11" i="2"/>
  <c r="O11" i="2"/>
  <c r="N10" i="2"/>
  <c r="N11" i="2" s="1"/>
  <c r="BG7" i="2"/>
  <c r="S7" i="2"/>
  <c r="BQ6" i="2"/>
  <c r="BV7" i="2" s="1"/>
  <c r="AM9" i="2" l="1"/>
  <c r="AW9" i="2" s="1"/>
  <c r="BG9" i="2" s="1"/>
  <c r="BQ9" i="2" s="1"/>
  <c r="N37" i="2"/>
  <c r="N21" i="2"/>
  <c r="B39" i="2"/>
  <c r="B30" i="2"/>
  <c r="B32" i="2"/>
  <c r="BQ7" i="2"/>
  <c r="AM7" i="2"/>
  <c r="AW7" i="2"/>
  <c r="N25" i="2"/>
  <c r="C39" i="2" l="1"/>
  <c r="B40" i="2"/>
  <c r="B24" i="2" s="1"/>
  <c r="L18" i="2" s="1"/>
  <c r="N28" i="2"/>
  <c r="N40" i="2"/>
  <c r="N41" i="2"/>
  <c r="N29" i="2"/>
  <c r="N45" i="2"/>
  <c r="N33" i="2"/>
  <c r="G40" i="2"/>
  <c r="G39" i="2"/>
  <c r="N39" i="2"/>
  <c r="N27" i="2"/>
  <c r="N32" i="2" s="1"/>
  <c r="L15" i="2" l="1"/>
  <c r="L16" i="2"/>
  <c r="L17" i="2"/>
  <c r="J18" i="2"/>
  <c r="L14" i="2"/>
  <c r="L13" i="2"/>
  <c r="N44" i="2"/>
  <c r="H15" i="2"/>
  <c r="AP42" i="2" s="1"/>
  <c r="H14" i="2"/>
  <c r="AF42" i="2" s="1"/>
  <c r="H16" i="2"/>
  <c r="AZ42" i="2" s="1"/>
  <c r="H17" i="2"/>
  <c r="BJ42" i="2" s="1"/>
  <c r="H13" i="2"/>
  <c r="V42" i="2" s="1"/>
  <c r="H18" i="2"/>
  <c r="BT42" i="2" s="1"/>
  <c r="G41" i="2"/>
  <c r="D41" i="2" s="1"/>
  <c r="H41" i="2" s="1"/>
  <c r="D39" i="2"/>
  <c r="H39" i="2" s="1"/>
  <c r="D40" i="2"/>
  <c r="H40" i="2" s="1"/>
  <c r="N24" i="2"/>
  <c r="I39" i="2" l="1"/>
  <c r="B23" i="2" s="1"/>
  <c r="D13" i="2" s="1"/>
  <c r="C43" i="2"/>
  <c r="D7" i="2"/>
  <c r="D16" i="2" l="1"/>
  <c r="G16" i="2" s="1"/>
  <c r="D17" i="2"/>
  <c r="G17" i="2" s="1"/>
  <c r="BG20" i="2" s="1"/>
  <c r="D14" i="2"/>
  <c r="E14" i="2" s="1"/>
  <c r="F14" i="2" s="1"/>
  <c r="D15" i="2"/>
  <c r="E15" i="2" s="1"/>
  <c r="F15" i="2" s="1"/>
  <c r="D18" i="2"/>
  <c r="E18" i="2" s="1"/>
  <c r="G13" i="2"/>
  <c r="S20" i="2" s="1"/>
  <c r="S22" i="2" s="1"/>
  <c r="AW20" i="2"/>
  <c r="E16" i="2"/>
  <c r="F16" i="2" s="1"/>
  <c r="G15" i="2" l="1"/>
  <c r="AM20" i="2" s="1"/>
  <c r="AM25" i="2" s="1"/>
  <c r="E13" i="2"/>
  <c r="G18" i="2"/>
  <c r="BQ20" i="2" s="1"/>
  <c r="BQ25" i="2" s="1"/>
  <c r="E17" i="2"/>
  <c r="F17" i="2" s="1"/>
  <c r="G14" i="2"/>
  <c r="AC20" i="2" s="1"/>
  <c r="AC22" i="2" s="1"/>
  <c r="AW25" i="2"/>
  <c r="AW22" i="2"/>
  <c r="S25" i="2"/>
  <c r="F18" i="2"/>
  <c r="BG25" i="2"/>
  <c r="BG22" i="2"/>
  <c r="F13" i="2" l="1"/>
  <c r="S15" i="2" s="1"/>
  <c r="AM22" i="2"/>
  <c r="AC25" i="2"/>
  <c r="BQ22" i="2"/>
  <c r="AC15" i="2"/>
  <c r="AW15" i="2"/>
  <c r="AM15" i="2"/>
  <c r="BQ15" i="2"/>
  <c r="BG15" i="2"/>
  <c r="K13" i="3" l="1"/>
  <c r="L13" i="3" s="1"/>
  <c r="J23" i="1"/>
  <c r="K14" i="3" s="1"/>
  <c r="L14" i="3" s="1"/>
  <c r="J24" i="1"/>
  <c r="K15" i="3" s="1"/>
  <c r="L15" i="3" s="1"/>
  <c r="J25" i="1"/>
  <c r="K16" i="3" s="1"/>
  <c r="L16" i="3" s="1"/>
  <c r="J26" i="1"/>
  <c r="K17" i="3" s="1"/>
  <c r="L17" i="3" s="1"/>
  <c r="D7" i="3" l="1"/>
  <c r="D9" i="3" s="1"/>
  <c r="BJ38" i="2" l="1"/>
  <c r="AZ38" i="2"/>
  <c r="AP38" i="2"/>
  <c r="AF38" i="2" l="1"/>
  <c r="F36" i="1" l="1"/>
  <c r="F41" i="1" s="1"/>
  <c r="G41" i="1" s="1"/>
  <c r="I36" i="1" l="1"/>
  <c r="D4" i="2" l="1"/>
  <c r="G4" i="2"/>
  <c r="I4" i="2"/>
  <c r="B6" i="2"/>
  <c r="S6" i="2"/>
  <c r="AC6" i="2"/>
  <c r="AM6" i="2"/>
  <c r="AW6" i="2"/>
  <c r="BG6" i="2"/>
  <c r="X7" i="2"/>
  <c r="AH7" i="2"/>
  <c r="AR7" i="2"/>
  <c r="BB7" i="2"/>
  <c r="BL7" i="2"/>
  <c r="S8" i="2"/>
  <c r="V8" i="2"/>
  <c r="W8" i="2"/>
  <c r="X8" i="2"/>
  <c r="Y8" i="2"/>
  <c r="AC8" i="2"/>
  <c r="AF8" i="2"/>
  <c r="AG8" i="2"/>
  <c r="AH8" i="2"/>
  <c r="AI8" i="2"/>
  <c r="AM8" i="2"/>
  <c r="AP8" i="2"/>
  <c r="AQ8" i="2"/>
  <c r="AR8" i="2"/>
  <c r="AS8" i="2"/>
  <c r="AW8" i="2"/>
  <c r="AZ8" i="2"/>
  <c r="BA8" i="2"/>
  <c r="BB8" i="2"/>
  <c r="BC8" i="2"/>
  <c r="BG8" i="2"/>
  <c r="BJ8" i="2"/>
  <c r="BK8" i="2"/>
  <c r="BL8" i="2"/>
  <c r="BM8" i="2"/>
  <c r="BQ8" i="2"/>
  <c r="BT8" i="2"/>
  <c r="BU8" i="2"/>
  <c r="BV8" i="2"/>
  <c r="BW8" i="2"/>
  <c r="D9" i="2"/>
  <c r="V9" i="2"/>
  <c r="W9" i="2"/>
  <c r="X9" i="2"/>
  <c r="Y9" i="2"/>
  <c r="AF9" i="2"/>
  <c r="AG9" i="2"/>
  <c r="AH9" i="2"/>
  <c r="AI9" i="2"/>
  <c r="AP9" i="2"/>
  <c r="AQ9" i="2"/>
  <c r="AR9" i="2"/>
  <c r="AS9" i="2"/>
  <c r="AZ9" i="2"/>
  <c r="BA9" i="2"/>
  <c r="BB9" i="2"/>
  <c r="BC9" i="2"/>
  <c r="BJ9" i="2"/>
  <c r="BK9" i="2"/>
  <c r="BL9" i="2"/>
  <c r="BM9" i="2"/>
  <c r="BT9" i="2"/>
  <c r="BU9" i="2"/>
  <c r="BV9" i="2"/>
  <c r="BW9" i="2"/>
  <c r="V10" i="2"/>
  <c r="W10" i="2"/>
  <c r="X10" i="2"/>
  <c r="Y10" i="2"/>
  <c r="AF10" i="2"/>
  <c r="AG10" i="2"/>
  <c r="AH10" i="2"/>
  <c r="AI10" i="2"/>
  <c r="AP10" i="2"/>
  <c r="AQ10" i="2"/>
  <c r="AR10" i="2"/>
  <c r="AS10" i="2"/>
  <c r="AZ10" i="2"/>
  <c r="BA10" i="2"/>
  <c r="BB10" i="2"/>
  <c r="BC10" i="2"/>
  <c r="BJ10" i="2"/>
  <c r="BK10" i="2"/>
  <c r="BL10" i="2"/>
  <c r="BM10" i="2"/>
  <c r="BT10" i="2"/>
  <c r="BU10" i="2"/>
  <c r="BV10" i="2"/>
  <c r="BW10" i="2"/>
  <c r="V11" i="2"/>
  <c r="W11" i="2"/>
  <c r="X11" i="2"/>
  <c r="Y11" i="2"/>
  <c r="AF11" i="2"/>
  <c r="AG11" i="2"/>
  <c r="AH11" i="2"/>
  <c r="AI11" i="2"/>
  <c r="AP11" i="2"/>
  <c r="AQ11" i="2"/>
  <c r="AR11" i="2"/>
  <c r="AS11" i="2"/>
  <c r="AZ11" i="2"/>
  <c r="BA11" i="2"/>
  <c r="BB11" i="2"/>
  <c r="BC11" i="2"/>
  <c r="BJ11" i="2"/>
  <c r="BK11" i="2"/>
  <c r="BL11" i="2"/>
  <c r="BM11" i="2"/>
  <c r="BT11" i="2"/>
  <c r="BU11" i="2"/>
  <c r="BV11" i="2"/>
  <c r="BW11" i="2"/>
  <c r="V12" i="2"/>
  <c r="W12" i="2"/>
  <c r="X12" i="2"/>
  <c r="Y12" i="2"/>
  <c r="AF12" i="2"/>
  <c r="AG12" i="2"/>
  <c r="AH12" i="2"/>
  <c r="AI12" i="2"/>
  <c r="AP12" i="2"/>
  <c r="AQ12" i="2"/>
  <c r="AR12" i="2"/>
  <c r="AS12" i="2"/>
  <c r="AZ12" i="2"/>
  <c r="BA12" i="2"/>
  <c r="BB12" i="2"/>
  <c r="BC12" i="2"/>
  <c r="BJ12" i="2"/>
  <c r="BK12" i="2"/>
  <c r="BL12" i="2"/>
  <c r="BM12" i="2"/>
  <c r="BT12" i="2"/>
  <c r="BU12" i="2"/>
  <c r="BV12" i="2"/>
  <c r="BW12" i="2"/>
  <c r="C13" i="2"/>
  <c r="I13" i="2"/>
  <c r="J13" i="2"/>
  <c r="S13" i="2"/>
  <c r="V13" i="2"/>
  <c r="W13" i="2"/>
  <c r="X13" i="2"/>
  <c r="Y13" i="2"/>
  <c r="AC13" i="2"/>
  <c r="AF13" i="2"/>
  <c r="AG13" i="2"/>
  <c r="AH13" i="2"/>
  <c r="AI13" i="2"/>
  <c r="AM13" i="2"/>
  <c r="AP13" i="2"/>
  <c r="AQ13" i="2"/>
  <c r="AR13" i="2"/>
  <c r="AS13" i="2"/>
  <c r="AW13" i="2"/>
  <c r="AZ13" i="2"/>
  <c r="BA13" i="2"/>
  <c r="BB13" i="2"/>
  <c r="BC13" i="2"/>
  <c r="BG13" i="2"/>
  <c r="BJ13" i="2"/>
  <c r="BK13" i="2"/>
  <c r="BL13" i="2"/>
  <c r="BM13" i="2"/>
  <c r="BQ13" i="2"/>
  <c r="BT13" i="2"/>
  <c r="BU13" i="2"/>
  <c r="BV13" i="2"/>
  <c r="BW13" i="2"/>
  <c r="C14" i="2"/>
  <c r="I14" i="2"/>
  <c r="J14" i="2"/>
  <c r="N14" i="2"/>
  <c r="S14" i="2"/>
  <c r="V14" i="2"/>
  <c r="W14" i="2"/>
  <c r="X14" i="2"/>
  <c r="Y14" i="2"/>
  <c r="AC14" i="2"/>
  <c r="AF14" i="2"/>
  <c r="AG14" i="2"/>
  <c r="AH14" i="2"/>
  <c r="AI14" i="2"/>
  <c r="AM14" i="2"/>
  <c r="AP14" i="2"/>
  <c r="AQ14" i="2"/>
  <c r="AR14" i="2"/>
  <c r="AS14" i="2"/>
  <c r="AW14" i="2"/>
  <c r="AZ14" i="2"/>
  <c r="BA14" i="2"/>
  <c r="BB14" i="2"/>
  <c r="BC14" i="2"/>
  <c r="BG14" i="2"/>
  <c r="BJ14" i="2"/>
  <c r="BK14" i="2"/>
  <c r="BL14" i="2"/>
  <c r="BM14" i="2"/>
  <c r="BQ14" i="2"/>
  <c r="BT14" i="2"/>
  <c r="BU14" i="2"/>
  <c r="BV14" i="2"/>
  <c r="BW14" i="2"/>
  <c r="C15" i="2"/>
  <c r="I15" i="2"/>
  <c r="J15" i="2"/>
  <c r="V15" i="2"/>
  <c r="W15" i="2"/>
  <c r="X15" i="2"/>
  <c r="Y15" i="2"/>
  <c r="AF15" i="2"/>
  <c r="AG15" i="2"/>
  <c r="AH15" i="2"/>
  <c r="AI15" i="2"/>
  <c r="AP15" i="2"/>
  <c r="AQ15" i="2"/>
  <c r="AR15" i="2"/>
  <c r="AS15" i="2"/>
  <c r="AZ15" i="2"/>
  <c r="BA15" i="2"/>
  <c r="BB15" i="2"/>
  <c r="BC15" i="2"/>
  <c r="BJ15" i="2"/>
  <c r="BK15" i="2"/>
  <c r="BL15" i="2"/>
  <c r="BM15" i="2"/>
  <c r="BT15" i="2"/>
  <c r="BU15" i="2"/>
  <c r="BV15" i="2"/>
  <c r="BW15" i="2"/>
  <c r="C16" i="2"/>
  <c r="I16" i="2"/>
  <c r="J16" i="2"/>
  <c r="S16" i="2"/>
  <c r="V16" i="2"/>
  <c r="W16" i="2"/>
  <c r="X16" i="2"/>
  <c r="Y16" i="2"/>
  <c r="AC16" i="2"/>
  <c r="AF16" i="2"/>
  <c r="AG16" i="2"/>
  <c r="AH16" i="2"/>
  <c r="AI16" i="2"/>
  <c r="AM16" i="2"/>
  <c r="AP16" i="2"/>
  <c r="AQ16" i="2"/>
  <c r="AR16" i="2"/>
  <c r="AS16" i="2"/>
  <c r="AW16" i="2"/>
  <c r="AZ16" i="2"/>
  <c r="BA16" i="2"/>
  <c r="BB16" i="2"/>
  <c r="BC16" i="2"/>
  <c r="BG16" i="2"/>
  <c r="BJ16" i="2"/>
  <c r="BK16" i="2"/>
  <c r="BL16" i="2"/>
  <c r="BM16" i="2"/>
  <c r="BQ16" i="2"/>
  <c r="BT16" i="2"/>
  <c r="BU16" i="2"/>
  <c r="BV16" i="2"/>
  <c r="BW16" i="2"/>
  <c r="C17" i="2"/>
  <c r="I17" i="2"/>
  <c r="J17" i="2"/>
  <c r="S17" i="2"/>
  <c r="V17" i="2"/>
  <c r="W17" i="2"/>
  <c r="X17" i="2"/>
  <c r="Y17" i="2"/>
  <c r="AC17" i="2"/>
  <c r="AF17" i="2"/>
  <c r="AG17" i="2"/>
  <c r="AH17" i="2"/>
  <c r="AI17" i="2"/>
  <c r="AM17" i="2"/>
  <c r="AP17" i="2"/>
  <c r="AQ17" i="2"/>
  <c r="AR17" i="2"/>
  <c r="AS17" i="2"/>
  <c r="AW17" i="2"/>
  <c r="AZ17" i="2"/>
  <c r="BA17" i="2"/>
  <c r="BB17" i="2"/>
  <c r="BC17" i="2"/>
  <c r="BG17" i="2"/>
  <c r="BJ17" i="2"/>
  <c r="BK17" i="2"/>
  <c r="BL17" i="2"/>
  <c r="BM17" i="2"/>
  <c r="BQ17" i="2"/>
  <c r="BT17" i="2"/>
  <c r="BU17" i="2"/>
  <c r="BV17" i="2"/>
  <c r="BW17" i="2"/>
  <c r="N18" i="2"/>
  <c r="S18" i="2"/>
  <c r="T18" i="2"/>
  <c r="V18" i="2"/>
  <c r="W18" i="2"/>
  <c r="X18" i="2"/>
  <c r="Y18" i="2"/>
  <c r="AC18" i="2"/>
  <c r="AD18" i="2"/>
  <c r="AF18" i="2"/>
  <c r="AG18" i="2"/>
  <c r="AH18" i="2"/>
  <c r="AI18" i="2"/>
  <c r="AM18" i="2"/>
  <c r="AN18" i="2"/>
  <c r="AP18" i="2"/>
  <c r="AQ18" i="2"/>
  <c r="AR18" i="2"/>
  <c r="AS18" i="2"/>
  <c r="AW18" i="2"/>
  <c r="AX18" i="2"/>
  <c r="AZ18" i="2"/>
  <c r="BA18" i="2"/>
  <c r="BB18" i="2"/>
  <c r="BC18" i="2"/>
  <c r="BG18" i="2"/>
  <c r="BH18" i="2"/>
  <c r="BJ18" i="2"/>
  <c r="BK18" i="2"/>
  <c r="BL18" i="2"/>
  <c r="BM18" i="2"/>
  <c r="BQ18" i="2"/>
  <c r="BR18" i="2"/>
  <c r="BT18" i="2"/>
  <c r="BU18" i="2"/>
  <c r="BV18" i="2"/>
  <c r="BW18" i="2"/>
  <c r="C19" i="2"/>
  <c r="V19" i="2"/>
  <c r="W19" i="2"/>
  <c r="X19" i="2"/>
  <c r="Y19" i="2"/>
  <c r="AF19" i="2"/>
  <c r="AG19" i="2"/>
  <c r="AH19" i="2"/>
  <c r="AI19" i="2"/>
  <c r="AP19" i="2"/>
  <c r="AQ19" i="2"/>
  <c r="AR19" i="2"/>
  <c r="AS19" i="2"/>
  <c r="AZ19" i="2"/>
  <c r="BA19" i="2"/>
  <c r="BB19" i="2"/>
  <c r="BC19" i="2"/>
  <c r="BJ19" i="2"/>
  <c r="BK19" i="2"/>
  <c r="BL19" i="2"/>
  <c r="BM19" i="2"/>
  <c r="BT19" i="2"/>
  <c r="BU19" i="2"/>
  <c r="BV19" i="2"/>
  <c r="BW19" i="2"/>
  <c r="V20" i="2"/>
  <c r="W20" i="2"/>
  <c r="X20" i="2"/>
  <c r="Y20" i="2"/>
  <c r="AF20" i="2"/>
  <c r="AG20" i="2"/>
  <c r="AH20" i="2"/>
  <c r="AI20" i="2"/>
  <c r="AP20" i="2"/>
  <c r="AQ20" i="2"/>
  <c r="AR20" i="2"/>
  <c r="AS20" i="2"/>
  <c r="AZ20" i="2"/>
  <c r="BA20" i="2"/>
  <c r="BB20" i="2"/>
  <c r="BC20" i="2"/>
  <c r="BJ20" i="2"/>
  <c r="BK20" i="2"/>
  <c r="BL20" i="2"/>
  <c r="BM20" i="2"/>
  <c r="BT20" i="2"/>
  <c r="BU20" i="2"/>
  <c r="BV20" i="2"/>
  <c r="BW20" i="2"/>
  <c r="V21" i="2"/>
  <c r="W21" i="2"/>
  <c r="X21" i="2"/>
  <c r="Y21" i="2"/>
  <c r="AF21" i="2"/>
  <c r="AG21" i="2"/>
  <c r="AH21" i="2"/>
  <c r="AI21" i="2"/>
  <c r="AP21" i="2"/>
  <c r="AQ21" i="2"/>
  <c r="AR21" i="2"/>
  <c r="AS21" i="2"/>
  <c r="AZ21" i="2"/>
  <c r="BA21" i="2"/>
  <c r="BB21" i="2"/>
  <c r="BC21" i="2"/>
  <c r="BJ21" i="2"/>
  <c r="BK21" i="2"/>
  <c r="BL21" i="2"/>
  <c r="BM21" i="2"/>
  <c r="BT21" i="2"/>
  <c r="BU21" i="2"/>
  <c r="BV21" i="2"/>
  <c r="BW21" i="2"/>
  <c r="V22" i="2"/>
  <c r="W22" i="2"/>
  <c r="X22" i="2"/>
  <c r="Y22" i="2"/>
  <c r="AF22" i="2"/>
  <c r="AG22" i="2"/>
  <c r="AH22" i="2"/>
  <c r="AI22" i="2"/>
  <c r="AP22" i="2"/>
  <c r="AQ22" i="2"/>
  <c r="AR22" i="2"/>
  <c r="AS22" i="2"/>
  <c r="AZ22" i="2"/>
  <c r="BA22" i="2"/>
  <c r="BB22" i="2"/>
  <c r="BC22" i="2"/>
  <c r="BJ22" i="2"/>
  <c r="BK22" i="2"/>
  <c r="BL22" i="2"/>
  <c r="BM22" i="2"/>
  <c r="BT22" i="2"/>
  <c r="BU22" i="2"/>
  <c r="BV22" i="2"/>
  <c r="BW22" i="2"/>
  <c r="V23" i="2"/>
  <c r="W23" i="2"/>
  <c r="X23" i="2"/>
  <c r="Y23" i="2"/>
  <c r="AF23" i="2"/>
  <c r="AG23" i="2"/>
  <c r="AH23" i="2"/>
  <c r="AI23" i="2"/>
  <c r="AP23" i="2"/>
  <c r="AQ23" i="2"/>
  <c r="AR23" i="2"/>
  <c r="AS23" i="2"/>
  <c r="AZ23" i="2"/>
  <c r="BA23" i="2"/>
  <c r="BB23" i="2"/>
  <c r="BC23" i="2"/>
  <c r="BJ23" i="2"/>
  <c r="BK23" i="2"/>
  <c r="BL23" i="2"/>
  <c r="BM23" i="2"/>
  <c r="BT23" i="2"/>
  <c r="BU23" i="2"/>
  <c r="BV23" i="2"/>
  <c r="BW23" i="2"/>
  <c r="S24" i="2"/>
  <c r="V24" i="2"/>
  <c r="W24" i="2"/>
  <c r="X24" i="2"/>
  <c r="Y24" i="2"/>
  <c r="AC24" i="2"/>
  <c r="AF24" i="2"/>
  <c r="AG24" i="2"/>
  <c r="AH24" i="2"/>
  <c r="AI24" i="2"/>
  <c r="AM24" i="2"/>
  <c r="AP24" i="2"/>
  <c r="AQ24" i="2"/>
  <c r="AR24" i="2"/>
  <c r="AS24" i="2"/>
  <c r="AW24" i="2"/>
  <c r="AZ24" i="2"/>
  <c r="BA24" i="2"/>
  <c r="BB24" i="2"/>
  <c r="BC24" i="2"/>
  <c r="BG24" i="2"/>
  <c r="BJ24" i="2"/>
  <c r="BK24" i="2"/>
  <c r="BL24" i="2"/>
  <c r="BM24" i="2"/>
  <c r="BQ24" i="2"/>
  <c r="BT24" i="2"/>
  <c r="BU24" i="2"/>
  <c r="BV24" i="2"/>
  <c r="BW24" i="2"/>
  <c r="V25" i="2"/>
  <c r="W25" i="2"/>
  <c r="X25" i="2"/>
  <c r="Y25" i="2"/>
  <c r="AF25" i="2"/>
  <c r="AG25" i="2"/>
  <c r="AH25" i="2"/>
  <c r="AI25" i="2"/>
  <c r="AP25" i="2"/>
  <c r="AQ25" i="2"/>
  <c r="AR25" i="2"/>
  <c r="AS25" i="2"/>
  <c r="AZ25" i="2"/>
  <c r="BA25" i="2"/>
  <c r="BB25" i="2"/>
  <c r="BC25" i="2"/>
  <c r="BJ25" i="2"/>
  <c r="BK25" i="2"/>
  <c r="BL25" i="2"/>
  <c r="BM25" i="2"/>
  <c r="BT25" i="2"/>
  <c r="BU25" i="2"/>
  <c r="BV25" i="2"/>
  <c r="BW25" i="2"/>
  <c r="V26" i="2"/>
  <c r="W26" i="2"/>
  <c r="X26" i="2"/>
  <c r="Y26" i="2"/>
  <c r="AF26" i="2"/>
  <c r="AG26" i="2"/>
  <c r="AH26" i="2"/>
  <c r="AI26" i="2"/>
  <c r="AP26" i="2"/>
  <c r="AQ26" i="2"/>
  <c r="AR26" i="2"/>
  <c r="AS26" i="2"/>
  <c r="AZ26" i="2"/>
  <c r="BA26" i="2"/>
  <c r="BB26" i="2"/>
  <c r="BC26" i="2"/>
  <c r="BJ26" i="2"/>
  <c r="BK26" i="2"/>
  <c r="BL26" i="2"/>
  <c r="BM26" i="2"/>
  <c r="BT26" i="2"/>
  <c r="BU26" i="2"/>
  <c r="BV26" i="2"/>
  <c r="BW26" i="2"/>
  <c r="V27" i="2"/>
  <c r="W27" i="2"/>
  <c r="X27" i="2"/>
  <c r="Y27" i="2"/>
  <c r="AF27" i="2"/>
  <c r="AG27" i="2"/>
  <c r="AH27" i="2"/>
  <c r="AI27" i="2"/>
  <c r="AP27" i="2"/>
  <c r="AQ27" i="2"/>
  <c r="AR27" i="2"/>
  <c r="AS27" i="2"/>
  <c r="AZ27" i="2"/>
  <c r="BA27" i="2"/>
  <c r="BB27" i="2"/>
  <c r="BC27" i="2"/>
  <c r="BJ27" i="2"/>
  <c r="BK27" i="2"/>
  <c r="BL27" i="2"/>
  <c r="BM27" i="2"/>
  <c r="BT27" i="2"/>
  <c r="BU27" i="2"/>
  <c r="BV27" i="2"/>
  <c r="BW27" i="2"/>
  <c r="N30" i="2"/>
  <c r="V30" i="2"/>
  <c r="AF30" i="2"/>
  <c r="AP30" i="2"/>
  <c r="AZ30" i="2"/>
  <c r="BJ30" i="2"/>
  <c r="BT30" i="2"/>
  <c r="N31" i="2"/>
  <c r="V32" i="2"/>
  <c r="AF32" i="2"/>
  <c r="AP32" i="2"/>
  <c r="AZ32" i="2"/>
  <c r="BJ32" i="2"/>
  <c r="BT32" i="2"/>
  <c r="N34" i="2"/>
  <c r="O34" i="2"/>
  <c r="V34" i="2"/>
  <c r="AF34" i="2"/>
  <c r="AP34" i="2"/>
  <c r="AZ34" i="2"/>
  <c r="BJ34" i="2"/>
  <c r="BT34" i="2"/>
  <c r="O35" i="2"/>
  <c r="Q35" i="2"/>
  <c r="O36" i="2"/>
  <c r="V36" i="2"/>
  <c r="AF36" i="2"/>
  <c r="AP36" i="2"/>
  <c r="AZ36" i="2"/>
  <c r="BJ36" i="2"/>
  <c r="BT36" i="2"/>
  <c r="V38" i="2"/>
  <c r="BT38" i="2"/>
  <c r="V40" i="2"/>
  <c r="AF40" i="2"/>
  <c r="AP40" i="2"/>
  <c r="AZ40" i="2"/>
  <c r="BJ40" i="2"/>
  <c r="BT40" i="2"/>
  <c r="N42" i="2"/>
  <c r="N43" i="2"/>
  <c r="V44" i="2"/>
  <c r="W44" i="2"/>
  <c r="AF44" i="2"/>
  <c r="AG44" i="2"/>
  <c r="AP44" i="2"/>
  <c r="AQ44" i="2"/>
  <c r="AZ44" i="2"/>
  <c r="BA44" i="2"/>
  <c r="BJ44" i="2"/>
  <c r="BK44" i="2"/>
  <c r="BT44" i="2"/>
  <c r="BU44" i="2"/>
  <c r="N46" i="2"/>
  <c r="W51" i="2"/>
  <c r="W54" i="2"/>
  <c r="W55" i="2"/>
  <c r="G4" i="3"/>
  <c r="I13" i="3"/>
  <c r="J13" i="3"/>
  <c r="I14" i="3"/>
  <c r="J14" i="3"/>
  <c r="I15" i="3"/>
  <c r="J15" i="3"/>
  <c r="I16" i="3"/>
  <c r="J16" i="3"/>
  <c r="I17" i="3"/>
  <c r="J17" i="3"/>
  <c r="C19" i="3"/>
  <c r="D8" i="1"/>
  <c r="D9" i="1"/>
  <c r="G9" i="1"/>
  <c r="D12" i="1"/>
  <c r="E16" i="1"/>
  <c r="F16" i="1"/>
  <c r="G16" i="1"/>
  <c r="E17" i="1"/>
  <c r="K22" i="1"/>
  <c r="L22" i="1"/>
  <c r="K23" i="1"/>
  <c r="L23" i="1"/>
  <c r="K24" i="1"/>
  <c r="L24" i="1"/>
  <c r="K25" i="1"/>
  <c r="L25" i="1"/>
  <c r="K26" i="1"/>
  <c r="L26" i="1"/>
  <c r="P28" i="1"/>
  <c r="L29" i="1"/>
  <c r="M29" i="1"/>
  <c r="L30" i="1"/>
  <c r="M30" i="1"/>
  <c r="L31" i="1"/>
  <c r="C35" i="1"/>
  <c r="F35" i="1"/>
  <c r="G35" i="1"/>
  <c r="H35" i="1"/>
  <c r="I35" i="1"/>
  <c r="J35" i="1"/>
  <c r="K35" i="1"/>
  <c r="D36" i="1"/>
  <c r="G36" i="1"/>
  <c r="H36" i="1"/>
  <c r="J36" i="1"/>
  <c r="K36" i="1"/>
  <c r="C37" i="1"/>
  <c r="G37" i="1"/>
  <c r="H37" i="1"/>
  <c r="D38" i="1"/>
  <c r="D39" i="1"/>
  <c r="F39" i="1"/>
  <c r="G39" i="1"/>
  <c r="I42" i="1"/>
  <c r="B45" i="1"/>
  <c r="I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Crebelli Matteo</author>
  </authors>
  <commentList>
    <comment ref="C12" authorId="0" shapeId="0" xr:uid="{00000000-0006-0000-0000-000001000000}">
      <text>
        <r>
          <rPr>
            <b/>
            <sz val="9"/>
            <color indexed="81"/>
            <rFont val="Tahoma"/>
            <family val="2"/>
          </rPr>
          <t>Crebelli Matteo:</t>
        </r>
        <r>
          <rPr>
            <sz val="9"/>
            <color indexed="81"/>
            <rFont val="Tahoma"/>
            <family val="2"/>
          </rPr>
          <t xml:space="preserve">
Eventualmente finanziamento concesso modificando le formule relative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Crebelli Matteo</author>
  </authors>
  <commentList>
    <comment ref="C12" authorId="0" shapeId="0" xr:uid="{00000000-0006-0000-0100-000001000000}">
      <text>
        <r>
          <rPr>
            <b/>
            <sz val="9"/>
            <color indexed="81"/>
            <rFont val="Tahoma"/>
            <family val="2"/>
          </rPr>
          <t>Crebelli Matteo:</t>
        </r>
        <r>
          <rPr>
            <sz val="9"/>
            <color indexed="81"/>
            <rFont val="Tahoma"/>
            <family val="2"/>
          </rPr>
          <t xml:space="preserve">
Eventualmente finanziamento concesso modificando le formule relative</t>
        </r>
      </text>
    </comment>
  </commentList>
</comments>
</file>

<file path=xl/sharedStrings.xml><?xml version="1.0" encoding="utf-8"?>
<sst xmlns="http://schemas.openxmlformats.org/spreadsheetml/2006/main" count="604" uniqueCount="163">
  <si>
    <t>INPUT</t>
  </si>
  <si>
    <t>BENEFICIO ATTUALIZZATO CONTRIBUTO C/INTERESSI</t>
  </si>
  <si>
    <t>MODELLO ATTUALE</t>
  </si>
  <si>
    <t>MODELLO 2.0</t>
  </si>
  <si>
    <t>I PAGAMENTO</t>
  </si>
  <si>
    <t>II PAGAMENTO</t>
  </si>
  <si>
    <t>III PAGAMENTO</t>
  </si>
  <si>
    <t>IV PAGAMENTO</t>
  </si>
  <si>
    <t>V PAGAMENTO</t>
  </si>
  <si>
    <t>VI PAGAMENTO</t>
  </si>
  <si>
    <t>TASSO BASE</t>
  </si>
  <si>
    <t>Durata realizzazione investimento (mesi)</t>
  </si>
  <si>
    <t>I ABB annuo</t>
  </si>
  <si>
    <t xml:space="preserve">% finanziamento agevolato </t>
  </si>
  <si>
    <t>Fin. Concesso t1</t>
  </si>
  <si>
    <t>n rata</t>
  </si>
  <si>
    <t>interessi</t>
  </si>
  <si>
    <t>rata</t>
  </si>
  <si>
    <t>debito residuo</t>
  </si>
  <si>
    <t>quota capitale</t>
  </si>
  <si>
    <t>Fin. Concesso t2</t>
  </si>
  <si>
    <t>I ATT annuo</t>
  </si>
  <si>
    <t>I ATT sem</t>
  </si>
  <si>
    <t>ANNI</t>
  </si>
  <si>
    <t>I ABB sem</t>
  </si>
  <si>
    <t>Durata mutuo anni</t>
  </si>
  <si>
    <t>Realizzazione investimenti</t>
  </si>
  <si>
    <t>durata finanziamento Banca in anni</t>
  </si>
  <si>
    <t>Erogazione mutuo</t>
  </si>
  <si>
    <t>N° rate nell'anno (semestrale)</t>
  </si>
  <si>
    <t>DATA VALUTA</t>
  </si>
  <si>
    <t>gg dalla I rata del mutuo</t>
  </si>
  <si>
    <t>gg I rata</t>
  </si>
  <si>
    <t xml:space="preserve">taso equivalente I rata </t>
  </si>
  <si>
    <t>gg pre amm.to</t>
  </si>
  <si>
    <t>Semestri fra inizio investimento e valuta</t>
  </si>
  <si>
    <t>tempo_1 ANTICIPO</t>
  </si>
  <si>
    <t>Ani fattore fraz. C. rata costante</t>
  </si>
  <si>
    <t>tempo_2 I SAL</t>
  </si>
  <si>
    <t>Beneficio attualizzato Contributo c/interessi</t>
  </si>
  <si>
    <t>I ABB giorni variabili I rata</t>
  </si>
  <si>
    <t>tempo_3 II SAL</t>
  </si>
  <si>
    <t>I ATT giorni variabili I rata</t>
  </si>
  <si>
    <t>tempo_4 SAL SALDO</t>
  </si>
  <si>
    <t>Diff. i att. interessi 1° rata</t>
  </si>
  <si>
    <t>tempo_5 SAL UNICO</t>
  </si>
  <si>
    <t>trasformazione lineare mesi (12=1)</t>
  </si>
  <si>
    <t>Rata costante semestre pieno</t>
  </si>
  <si>
    <t>tempo_6</t>
  </si>
  <si>
    <t>Rata costante da utilizzare</t>
  </si>
  <si>
    <t>(% fin.to agevolato) EROGATO 100%</t>
  </si>
  <si>
    <t>SEMESTRI PRE AMM.TO</t>
  </si>
  <si>
    <t>I att equival. Preamm.to</t>
  </si>
  <si>
    <t>DATA I RATA MUTUO</t>
  </si>
  <si>
    <t>DATA INIZIO INVESTIMENTO</t>
  </si>
  <si>
    <t>Erogazione 1° anno</t>
  </si>
  <si>
    <t>Q int. Preamm.to I ABB</t>
  </si>
  <si>
    <t>p = n. rate preammortamento</t>
  </si>
  <si>
    <t>p (sem. preamm.to)</t>
  </si>
  <si>
    <t>31/05/2019 per test equivalenza</t>
  </si>
  <si>
    <t>k= differimento</t>
  </si>
  <si>
    <t>n= n. rate ammortamento</t>
  </si>
  <si>
    <t>amm.to t0 inv.to (senza interessi)</t>
  </si>
  <si>
    <t>vp = (1+iATT)-p</t>
  </si>
  <si>
    <t>vk = (1+iATT)-k</t>
  </si>
  <si>
    <t>Quota interesse di preammortamento a tasso Iabb</t>
  </si>
  <si>
    <t>VAN(I att sem;2-16 rata)</t>
  </si>
  <si>
    <t>Rata costante a tasso da abbuonare</t>
  </si>
  <si>
    <t xml:space="preserve">fattore moltiplicativo an/iatt </t>
  </si>
  <si>
    <t>VAN sopra alla prima rata</t>
  </si>
  <si>
    <t xml:space="preserve">fattore moltiplicativo ap/iatt </t>
  </si>
  <si>
    <t>Benefico attualizzato Contributo c/interessi</t>
  </si>
  <si>
    <t>VAN I rata</t>
  </si>
  <si>
    <t>Erogazione 2° anno</t>
  </si>
  <si>
    <t>VAN INT. mutuo TOT</t>
  </si>
  <si>
    <t>Data I rata mutuo</t>
  </si>
  <si>
    <t>data</t>
  </si>
  <si>
    <t>Giorno I rata</t>
  </si>
  <si>
    <t>Mese I rata</t>
  </si>
  <si>
    <t>Anno ultima valuta</t>
  </si>
  <si>
    <t>PREAMM.TO mutuo</t>
  </si>
  <si>
    <t>Ultima data valuta</t>
  </si>
  <si>
    <t>Ultima prima valuta - t attualizza</t>
  </si>
  <si>
    <t>INTERESSI PREAMM.TO</t>
  </si>
  <si>
    <t>Quota interesse di preammortamento a tasso iABB</t>
  </si>
  <si>
    <t>ATTUAL. A INIZIO INV.TO</t>
  </si>
  <si>
    <t>VAN TOT.</t>
  </si>
  <si>
    <t>DURATA MUTUO ANNI</t>
  </si>
  <si>
    <t>Inv. Ammesso</t>
  </si>
  <si>
    <t>Inv. Amm. Attualizz</t>
  </si>
  <si>
    <t>INVESTIMENTO EROG.</t>
  </si>
  <si>
    <t>Fondo perduto</t>
  </si>
  <si>
    <t>Fondo attualiz.</t>
  </si>
  <si>
    <t>ESL COMPLESSIVO</t>
  </si>
  <si>
    <t>FONDO PERDUTO</t>
  </si>
  <si>
    <t>Tot. Assoluto</t>
  </si>
  <si>
    <t>MACROVOCE INVESTIMENTI</t>
  </si>
  <si>
    <t>IMPONIBILE STIMA INVESTIMENTO €</t>
  </si>
  <si>
    <t>INVESTIMENTO AMMISSIBILE</t>
  </si>
  <si>
    <t>Macchinari, impianti ed attrezzature</t>
  </si>
  <si>
    <t>TOT. INVESTIMENTI</t>
  </si>
  <si>
    <t>L'impresa opera nel settore del turismo?</t>
  </si>
  <si>
    <t>% AMMISSIBILI</t>
  </si>
  <si>
    <t>Acquisto immobile sede dell'attività</t>
  </si>
  <si>
    <t>Opere murarie e assimilate</t>
  </si>
  <si>
    <t>Programmi informatici, brevetti, licenze e marchi</t>
  </si>
  <si>
    <t>amm per FP</t>
  </si>
  <si>
    <t>AMM. TOT.</t>
  </si>
  <si>
    <t>VINCOLI</t>
  </si>
  <si>
    <t>INV. MAX</t>
  </si>
  <si>
    <t>MUTUO</t>
  </si>
  <si>
    <t>FP</t>
  </si>
  <si>
    <t>COP. TOT</t>
  </si>
  <si>
    <t>I TRIMESTRE</t>
  </si>
  <si>
    <t>II TRIMESTRE</t>
  </si>
  <si>
    <t>III TIMESTRE</t>
  </si>
  <si>
    <t>IV TRIMESTRE</t>
  </si>
  <si>
    <t>I ANNO</t>
  </si>
  <si>
    <t>II ANNO</t>
  </si>
  <si>
    <t>SOMMA</t>
  </si>
  <si>
    <t>CONTA SAL</t>
  </si>
  <si>
    <t>SAL NEGATIVI</t>
  </si>
  <si>
    <t>INDICARE LE PREVISIONI DI RENDICONTAZIONE DELLA SPESA PER SAL SU BASE TRIMESTRALE</t>
  </si>
  <si>
    <t>ANNO</t>
  </si>
  <si>
    <t>TRIMESTRE</t>
  </si>
  <si>
    <t>% INVESTIMENTO RENDICONTATO</t>
  </si>
  <si>
    <t>TOT.</t>
  </si>
  <si>
    <t>N° SAL MAX</t>
  </si>
  <si>
    <t>FP MAX</t>
  </si>
  <si>
    <t>MUTUO MAX</t>
  </si>
  <si>
    <t>INV. AMM</t>
  </si>
  <si>
    <t>DATE SAL</t>
  </si>
  <si>
    <t>%SAL</t>
  </si>
  <si>
    <t>ESL MUTUO</t>
  </si>
  <si>
    <t>ESL FP</t>
  </si>
  <si>
    <t>MUTUO MAX RICHIEDIBILE</t>
  </si>
  <si>
    <t>MUTUO RICHIESTO</t>
  </si>
  <si>
    <t>FONDO PERDUTO MAX RICHIEDIBILE</t>
  </si>
  <si>
    <t>FONDO PERDUTO RICHIESTO</t>
  </si>
  <si>
    <t>MAX</t>
  </si>
  <si>
    <t>max scenario</t>
  </si>
  <si>
    <t>per arrivare al 20%</t>
  </si>
  <si>
    <t>UTILIZZATO</t>
  </si>
  <si>
    <t>%</t>
  </si>
  <si>
    <t>RESIDUO</t>
  </si>
  <si>
    <t>RICHIESTA SIUTI</t>
  </si>
  <si>
    <t>COP. FIN. INV. AMM.</t>
  </si>
  <si>
    <t>CONCEDIBILE MAX</t>
  </si>
  <si>
    <t>% ESL PER VOCE</t>
  </si>
  <si>
    <t>ESL SU 20=100</t>
  </si>
  <si>
    <t>RESIDUO VAL. ASS</t>
  </si>
  <si>
    <t>RES. 90% COP</t>
  </si>
  <si>
    <t>RES ESL</t>
  </si>
  <si>
    <t>Data I rata mutuo PRECISA</t>
  </si>
  <si>
    <t>Data I rata mutuo + 6 MESI</t>
  </si>
  <si>
    <t>CLICCANDO QUI POTRAI TROVARE IL TASSO ATTUALMENTE IN VIGORE PER L'ITALIA</t>
  </si>
  <si>
    <t>TOT. COPERTURA FINANZIARIA</t>
  </si>
  <si>
    <t>Proposta di calcolo di contributi 
(da allegare al format di domanda)</t>
  </si>
  <si>
    <t>Occorre stampare il PDF della "Proposta di calcolo" che deve essere sottoscritto e caricata nell'upload degli allegati alla domanda on line</t>
  </si>
  <si>
    <t>Rating presunto</t>
  </si>
  <si>
    <t>NI</t>
  </si>
  <si>
    <t>Differenza giorni</t>
  </si>
  <si>
    <t>Data I rata restituzione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</si>
</sst>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 #,##0.00\ &quot;€&quot;_-;\-* #,##0.00\ &quot;€&quot;_-;_-* &quot;-&quot;??\ &quot;€&quot;_-;_-@_-"/>
    <numFmt numFmtId="164" formatCode="_-&quot;€&quot;\ * #,##0.00_-;\-&quot;€&quot;\ * #,##0.00_-;_-&quot;€&quot;\ * &quot;-&quot;??_-;_-@_-"/>
    <numFmt numFmtId="165" formatCode="_-* #,##0.00\ _€_-;\-* #,##0.00\ _€_-;_-* &quot;-&quot;??\ _€_-;_-@_-"/>
    <numFmt numFmtId="166" formatCode="#,##0.000000\ &quot;€&quot;;[Red]\-#,##0.000000\ &quot;€&quot;"/>
    <numFmt numFmtId="167" formatCode="0.00000%"/>
    <numFmt numFmtId="168" formatCode="0.0%"/>
    <numFmt numFmtId="169" formatCode="0.00_)"/>
    <numFmt numFmtId="170" formatCode="0.000000%"/>
    <numFmt numFmtId="171" formatCode="0.000%"/>
    <numFmt numFmtId="172" formatCode="_-&quot;L.&quot;\ * #,##0.00_-;\-&quot;L.&quot;\ * #,##0.00_-;_-&quot;L.&quot;\ * &quot;-&quot;??_-;_-@_-"/>
    <numFmt numFmtId="173" formatCode="_-* #,##0.00\ [$€-410]_-;\-* #,##0.00\ [$€-410]_-;_-* &quot;-&quot;??\ [$€-410]_-;_-@_-"/>
    <numFmt numFmtId="174" formatCode="&quot;€&quot;#,##0.00_);[Red]\(&quot;€&quot;#,##0.00\)"/>
    <numFmt numFmtId="175" formatCode="#,##0.000\ &quot;€&quot;;[Red]\-#,##0.000\ &quot;€&quot;"/>
    <numFmt numFmtId="176" formatCode="0.000000"/>
    <numFmt numFmtId="177" formatCode="0.0000%"/>
    <numFmt numFmtId="178" formatCode="0.00000000"/>
    <numFmt numFmtId="179" formatCode="0.0000000"/>
    <numFmt numFmtId="180" formatCode="0_)"/>
    <numFmt numFmtId="181" formatCode="&quot;€&quot;#,##0_);[Red]\(&quot;€&quot;#,##0\)"/>
    <numFmt numFmtId="182" formatCode="0.0000"/>
    <numFmt numFmtId="183" formatCode="#,##0.00000"/>
    <numFmt numFmtId="184" formatCode="#,##0.00000000\ &quot;€&quot;;[Red]\-#,##0.00000000\ &quot;€&quot;"/>
    <numFmt numFmtId="185" formatCode="#,##0.00000\ &quot;€&quot;;[Red]\-#,##0.00000\ &quot;€&quot;"/>
    <numFmt numFmtId="186" formatCode="0.000"/>
    <numFmt numFmtId="187" formatCode="0.00000"/>
    <numFmt numFmtId="188" formatCode="#,##0.0000000\ &quot;€&quot;;[Red]\-#,##0.0000000\ &quot;€&quot;"/>
    <numFmt numFmtId="189" formatCode="#,##0.0000"/>
    <numFmt numFmtId="190" formatCode="_-* #,##0.000\ &quot;€&quot;_-;\-* #,##0.000\ &quot;€&quot;_-;_-* &quot;-&quot;???\ &quot;€&quot;_-;_-@_-"/>
    <numFmt numFmtId="191" formatCode="_-* #,##0\ &quot;€&quot;_-;\-* #,##0\ &quot;€&quot;_-;_-* &quot;-&quot;??\ &quot;€&quot;_-;_-@_-"/>
  </numFmts>
  <fonts count="26"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0"/>
      <color rgb="FFFF0000"/>
      <name val="Arial"/>
      <family val="2"/>
    </font>
    <font>
      <b/>
      <sz val="10"/>
      <name val="Arial"/>
      <family val="2"/>
    </font>
    <font>
      <b/>
      <sz val="12"/>
      <color theme="0"/>
      <name val="Arial"/>
      <family val="2"/>
    </font>
    <font>
      <b/>
      <sz val="10"/>
      <color indexed="10"/>
      <name val="Times New Roman"/>
      <family val="1"/>
    </font>
    <font>
      <sz val="10"/>
      <color indexed="10"/>
      <name val="Times New Roman"/>
      <family val="1"/>
    </font>
    <font>
      <b/>
      <i/>
      <sz val="10"/>
      <name val="Times New Roman"/>
      <family val="1"/>
    </font>
    <font>
      <b/>
      <i/>
      <sz val="12"/>
      <name val="Times New Roman"/>
      <family val="1"/>
    </font>
    <font>
      <b/>
      <sz val="12"/>
      <name val="Arial"/>
      <family val="2"/>
    </font>
    <font>
      <b/>
      <sz val="9"/>
      <color indexed="81"/>
      <name val="Tahoma"/>
      <family val="2"/>
    </font>
    <font>
      <sz val="9"/>
      <color indexed="81"/>
      <name val="Tahoma"/>
      <family val="2"/>
    </font>
    <font>
      <b/>
      <sz val="11"/>
      <color theme="1"/>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i/>
      <sz val="11"/>
      <color theme="1"/>
      <name val="Calibri"/>
      <family val="2"/>
      <scheme val="minor"/>
    </font>
    <font>
      <u/>
      <sz val="11"/>
      <color theme="10"/>
      <name val="Calibri"/>
      <family val="2"/>
      <scheme val="minor"/>
    </font>
    <font>
      <b/>
      <u/>
      <sz val="11"/>
      <color rgb="FF002060"/>
      <name val="Calibri"/>
      <family val="2"/>
      <scheme val="minor"/>
    </font>
    <font>
      <b/>
      <i/>
      <sz val="14"/>
      <color theme="1"/>
      <name val="Calibri"/>
      <family val="2"/>
      <scheme val="minor"/>
    </font>
    <font>
      <b/>
      <u/>
      <sz val="22"/>
      <name val="Arial"/>
      <family val="2"/>
    </font>
    <font>
      <b/>
      <u/>
      <sz val="20"/>
      <name val="Arial"/>
      <family val="2"/>
    </font>
    <font>
      <b/>
      <sz val="14"/>
      <color theme="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00B05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indexed="4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
      <patternFill patternType="solid">
        <fgColor rgb="FFFFFF00"/>
        <bgColor rgb="FF000000"/>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double">
        <color indexed="64"/>
      </bottom>
      <diagonal/>
    </border>
    <border>
      <left style="double">
        <color indexed="64"/>
      </left>
      <right style="double">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172" fontId="2"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20" fillId="0" borderId="0" applyNumberFormat="0" applyFill="0" applyBorder="0" applyAlignment="0" applyProtection="0"/>
    <xf numFmtId="0" fontId="2" fillId="0" borderId="0"/>
  </cellStyleXfs>
  <cellXfs count="189">
    <xf numFmtId="0" fontId="0" fillId="0" borderId="0" xfId="0"/>
    <xf numFmtId="0" fontId="2" fillId="0" borderId="0" xfId="2"/>
    <xf numFmtId="10" fontId="2" fillId="2" borderId="0" xfId="3" applyNumberFormat="1" applyFont="1" applyFill="1"/>
    <xf numFmtId="166" fontId="2" fillId="0" borderId="0" xfId="2" applyNumberFormat="1"/>
    <xf numFmtId="0" fontId="2" fillId="2" borderId="0" xfId="2" applyFill="1"/>
    <xf numFmtId="168" fontId="2" fillId="0" borderId="0" xfId="1" applyNumberFormat="1" applyFont="1"/>
    <xf numFmtId="9" fontId="2" fillId="2" borderId="0" xfId="3" applyFont="1" applyFill="1"/>
    <xf numFmtId="169" fontId="3" fillId="0" borderId="0" xfId="2" applyNumberFormat="1" applyFont="1" applyAlignment="1">
      <alignment horizontal="center" vertical="center"/>
    </xf>
    <xf numFmtId="0" fontId="3" fillId="0" borderId="0" xfId="2" applyFont="1" applyAlignment="1">
      <alignment horizontal="center" vertical="center"/>
    </xf>
    <xf numFmtId="10" fontId="2" fillId="3" borderId="0" xfId="3" applyNumberFormat="1" applyFont="1" applyFill="1"/>
    <xf numFmtId="170" fontId="0" fillId="0" borderId="0" xfId="3" applyNumberFormat="1" applyFont="1"/>
    <xf numFmtId="0" fontId="2" fillId="0" borderId="0" xfId="2" quotePrefix="1"/>
    <xf numFmtId="171" fontId="0" fillId="0" borderId="0" xfId="3" applyNumberFormat="1" applyFont="1"/>
    <xf numFmtId="173" fontId="0" fillId="0" borderId="0" xfId="4" quotePrefix="1" applyNumberFormat="1" applyFont="1"/>
    <xf numFmtId="174" fontId="2" fillId="0" borderId="0" xfId="2" quotePrefix="1" applyNumberFormat="1"/>
    <xf numFmtId="174" fontId="2" fillId="0" borderId="0" xfId="2" applyNumberFormat="1"/>
    <xf numFmtId="0" fontId="2" fillId="0" borderId="0" xfId="2" applyAlignment="1">
      <alignment vertical="center"/>
    </xf>
    <xf numFmtId="0" fontId="2" fillId="0" borderId="3" xfId="2" applyBorder="1" applyAlignment="1">
      <alignment horizontal="center"/>
    </xf>
    <xf numFmtId="0" fontId="4" fillId="2" borderId="0" xfId="2" applyFont="1" applyFill="1"/>
    <xf numFmtId="175" fontId="0" fillId="0" borderId="0" xfId="4" quotePrefix="1" applyNumberFormat="1" applyFont="1"/>
    <xf numFmtId="0" fontId="3" fillId="0" borderId="0" xfId="2" applyFont="1" applyAlignment="1">
      <alignment vertical="center"/>
    </xf>
    <xf numFmtId="0" fontId="0" fillId="0" borderId="0" xfId="4" quotePrefix="1" applyNumberFormat="1" applyFont="1"/>
    <xf numFmtId="173" fontId="2" fillId="3" borderId="0" xfId="4" applyNumberFormat="1" applyFont="1" applyFill="1" applyAlignment="1">
      <alignment vertical="center"/>
    </xf>
    <xf numFmtId="14" fontId="2" fillId="0" borderId="0" xfId="2" applyNumberFormat="1"/>
    <xf numFmtId="176" fontId="2" fillId="0" borderId="0" xfId="2" applyNumberFormat="1"/>
    <xf numFmtId="0" fontId="0" fillId="0" borderId="0" xfId="3" applyNumberFormat="1" applyFont="1"/>
    <xf numFmtId="0" fontId="5" fillId="0" borderId="0" xfId="2" applyFont="1"/>
    <xf numFmtId="177" fontId="0" fillId="0" borderId="0" xfId="3" applyNumberFormat="1" applyFont="1"/>
    <xf numFmtId="167" fontId="0" fillId="0" borderId="0" xfId="3" applyNumberFormat="1" applyFont="1"/>
    <xf numFmtId="0" fontId="2" fillId="3" borderId="0" xfId="2" applyFill="1"/>
    <xf numFmtId="178" fontId="2" fillId="0" borderId="0" xfId="2" applyNumberFormat="1"/>
    <xf numFmtId="177" fontId="2" fillId="3" borderId="0" xfId="3" applyNumberFormat="1" applyFont="1" applyFill="1"/>
    <xf numFmtId="2" fontId="2" fillId="0" borderId="0" xfId="2" applyNumberFormat="1"/>
    <xf numFmtId="9" fontId="0" fillId="0" borderId="0" xfId="3" applyFont="1"/>
    <xf numFmtId="179" fontId="2" fillId="0" borderId="0" xfId="2" applyNumberFormat="1"/>
    <xf numFmtId="169" fontId="3" fillId="3" borderId="0" xfId="2" applyNumberFormat="1" applyFont="1" applyFill="1" applyAlignment="1">
      <alignment horizontal="center" vertical="center"/>
    </xf>
    <xf numFmtId="180" fontId="3" fillId="0" borderId="0" xfId="2" applyNumberFormat="1" applyFont="1" applyAlignment="1">
      <alignment horizontal="center" vertical="center"/>
    </xf>
    <xf numFmtId="14" fontId="2" fillId="5" borderId="0" xfId="2" applyNumberFormat="1" applyFill="1"/>
    <xf numFmtId="16" fontId="2" fillId="0" borderId="0" xfId="2" applyNumberFormat="1"/>
    <xf numFmtId="181" fontId="2" fillId="0" borderId="0" xfId="2" applyNumberFormat="1"/>
    <xf numFmtId="14" fontId="2" fillId="6" borderId="0" xfId="2" applyNumberFormat="1" applyFill="1"/>
    <xf numFmtId="0" fontId="7" fillId="7" borderId="4" xfId="2" applyFont="1" applyFill="1" applyBorder="1" applyAlignment="1">
      <alignment horizontal="center" vertical="center"/>
    </xf>
    <xf numFmtId="3" fontId="7" fillId="7" borderId="5" xfId="2" applyNumberFormat="1" applyFont="1" applyFill="1" applyBorder="1" applyAlignment="1">
      <alignment horizontal="center" vertical="center"/>
    </xf>
    <xf numFmtId="0" fontId="2" fillId="8" borderId="0" xfId="2" applyFill="1"/>
    <xf numFmtId="173" fontId="2" fillId="8" borderId="0" xfId="4" quotePrefix="1" applyNumberFormat="1" applyFont="1" applyFill="1"/>
    <xf numFmtId="174" fontId="2" fillId="8" borderId="0" xfId="2" quotePrefix="1" applyNumberFormat="1" applyFill="1"/>
    <xf numFmtId="174" fontId="2" fillId="8" borderId="0" xfId="2" applyNumberFormat="1" applyFill="1"/>
    <xf numFmtId="180" fontId="3" fillId="3" borderId="0" xfId="2" applyNumberFormat="1" applyFont="1" applyFill="1" applyAlignment="1">
      <alignment horizontal="center" vertical="center"/>
    </xf>
    <xf numFmtId="182" fontId="8" fillId="3" borderId="0" xfId="2" applyNumberFormat="1" applyFont="1" applyFill="1" applyAlignment="1">
      <alignment horizontal="center" vertical="center"/>
    </xf>
    <xf numFmtId="182" fontId="3" fillId="0" borderId="0" xfId="2" applyNumberFormat="1" applyFont="1" applyAlignment="1">
      <alignment horizontal="center" vertical="center"/>
    </xf>
    <xf numFmtId="182" fontId="3" fillId="9" borderId="0" xfId="2" applyNumberFormat="1" applyFont="1" applyFill="1" applyAlignment="1">
      <alignment horizontal="center" vertical="center"/>
    </xf>
    <xf numFmtId="3" fontId="3" fillId="0" borderId="0" xfId="2" applyNumberFormat="1" applyFont="1" applyAlignment="1">
      <alignment vertical="center"/>
    </xf>
    <xf numFmtId="173" fontId="3" fillId="0" borderId="0" xfId="2" applyNumberFormat="1" applyFont="1" applyAlignment="1">
      <alignment horizontal="center" vertical="center"/>
    </xf>
    <xf numFmtId="183" fontId="3" fillId="0" borderId="0" xfId="2" applyNumberFormat="1" applyFont="1" applyAlignment="1">
      <alignment horizontal="center" vertical="center"/>
    </xf>
    <xf numFmtId="0" fontId="9" fillId="7" borderId="6" xfId="2" applyFont="1" applyFill="1" applyBorder="1" applyAlignment="1">
      <alignment horizontal="center" vertical="center"/>
    </xf>
    <xf numFmtId="3" fontId="10" fillId="7" borderId="7" xfId="2" applyNumberFormat="1" applyFont="1" applyFill="1" applyBorder="1" applyAlignment="1">
      <alignment horizontal="center" vertical="center"/>
    </xf>
    <xf numFmtId="0" fontId="2" fillId="10" borderId="0" xfId="2" applyFill="1"/>
    <xf numFmtId="184" fontId="2" fillId="0" borderId="0" xfId="2" applyNumberFormat="1"/>
    <xf numFmtId="185" fontId="2" fillId="0" borderId="0" xfId="2" applyNumberFormat="1"/>
    <xf numFmtId="0" fontId="2" fillId="11" borderId="0" xfId="2" applyFill="1"/>
    <xf numFmtId="176" fontId="2" fillId="12" borderId="0" xfId="2" applyNumberFormat="1" applyFill="1"/>
    <xf numFmtId="0" fontId="11" fillId="0" borderId="0" xfId="2" applyFont="1"/>
    <xf numFmtId="185" fontId="2" fillId="0" borderId="0" xfId="2" quotePrefix="1" applyNumberFormat="1"/>
    <xf numFmtId="186" fontId="8" fillId="0" borderId="0" xfId="2" applyNumberFormat="1" applyFont="1" applyAlignment="1">
      <alignment horizontal="center" vertical="center"/>
    </xf>
    <xf numFmtId="187" fontId="3" fillId="0" borderId="0" xfId="2" applyNumberFormat="1" applyFont="1" applyAlignment="1">
      <alignment horizontal="center" vertical="center"/>
    </xf>
    <xf numFmtId="0" fontId="2" fillId="12" borderId="0" xfId="2" applyFill="1"/>
    <xf numFmtId="3" fontId="3" fillId="0" borderId="0" xfId="2" applyNumberFormat="1" applyFont="1" applyAlignment="1">
      <alignment horizontal="center" vertical="center"/>
    </xf>
    <xf numFmtId="0" fontId="2" fillId="9" borderId="0" xfId="2" applyFill="1"/>
    <xf numFmtId="4" fontId="3" fillId="0" borderId="0" xfId="2" applyNumberFormat="1" applyFont="1" applyAlignment="1">
      <alignment horizontal="center" vertical="center"/>
    </xf>
    <xf numFmtId="166" fontId="2" fillId="4" borderId="0" xfId="2" applyNumberFormat="1" applyFill="1"/>
    <xf numFmtId="188" fontId="2" fillId="0" borderId="0" xfId="2" applyNumberFormat="1"/>
    <xf numFmtId="189" fontId="3" fillId="0" borderId="0" xfId="2" applyNumberFormat="1" applyFont="1" applyAlignment="1">
      <alignment horizontal="center" vertical="center"/>
    </xf>
    <xf numFmtId="4" fontId="10" fillId="7" borderId="7" xfId="2" applyNumberFormat="1" applyFont="1" applyFill="1" applyBorder="1" applyAlignment="1">
      <alignment horizontal="center" vertical="center"/>
    </xf>
    <xf numFmtId="44" fontId="2" fillId="0" borderId="0" xfId="2" applyNumberFormat="1"/>
    <xf numFmtId="190" fontId="2" fillId="0" borderId="0" xfId="2" applyNumberFormat="1"/>
    <xf numFmtId="44" fontId="2" fillId="0" borderId="0" xfId="6" quotePrefix="1" applyFont="1"/>
    <xf numFmtId="44" fontId="2" fillId="8" borderId="0" xfId="6" applyFont="1" applyFill="1"/>
    <xf numFmtId="0" fontId="6" fillId="4" borderId="0" xfId="2" applyNumberFormat="1" applyFont="1" applyFill="1"/>
    <xf numFmtId="171" fontId="2" fillId="0" borderId="0" xfId="1" applyNumberFormat="1" applyFont="1"/>
    <xf numFmtId="14" fontId="2" fillId="2" borderId="0" xfId="2" applyNumberFormat="1" applyFill="1"/>
    <xf numFmtId="44" fontId="2" fillId="2" borderId="0" xfId="6" applyFont="1" applyFill="1"/>
    <xf numFmtId="164" fontId="2" fillId="2" borderId="0" xfId="5" applyFont="1" applyFill="1"/>
    <xf numFmtId="0" fontId="2" fillId="2" borderId="0" xfId="2" applyNumberFormat="1" applyFill="1"/>
    <xf numFmtId="0" fontId="14" fillId="13" borderId="8" xfId="0" applyFont="1" applyFill="1" applyBorder="1" applyAlignment="1">
      <alignment horizontal="center" vertical="center" wrapText="1"/>
    </xf>
    <xf numFmtId="0" fontId="0" fillId="14" borderId="9" xfId="0" applyFill="1" applyBorder="1" applyAlignment="1">
      <alignment vertical="center"/>
    </xf>
    <xf numFmtId="0" fontId="0" fillId="14" borderId="10" xfId="0" applyFill="1" applyBorder="1" applyAlignment="1">
      <alignment vertical="center"/>
    </xf>
    <xf numFmtId="0" fontId="14" fillId="14" borderId="0" xfId="0" applyFont="1" applyFill="1" applyAlignment="1">
      <alignment horizontal="right" vertical="center"/>
    </xf>
    <xf numFmtId="191" fontId="14" fillId="13" borderId="12" xfId="6" applyNumberFormat="1" applyFont="1" applyFill="1" applyBorder="1" applyAlignment="1">
      <alignment horizontal="center" vertical="center" wrapText="1"/>
    </xf>
    <xf numFmtId="165" fontId="0" fillId="15" borderId="13" xfId="7" applyFont="1" applyFill="1" applyBorder="1" applyAlignment="1">
      <alignment vertical="center"/>
    </xf>
    <xf numFmtId="165" fontId="0" fillId="15" borderId="14" xfId="7" applyFont="1" applyFill="1" applyBorder="1" applyAlignment="1">
      <alignment vertical="center"/>
    </xf>
    <xf numFmtId="44" fontId="14" fillId="14" borderId="16" xfId="6" applyNumberFormat="1" applyFont="1" applyFill="1" applyBorder="1"/>
    <xf numFmtId="0" fontId="14" fillId="13" borderId="12" xfId="0" applyFont="1" applyFill="1" applyBorder="1" applyAlignment="1">
      <alignment horizontal="center" vertical="center" wrapText="1"/>
    </xf>
    <xf numFmtId="44" fontId="0" fillId="14" borderId="17" xfId="6" applyFont="1" applyFill="1" applyBorder="1" applyAlignment="1">
      <alignment horizontal="center" vertical="center" wrapText="1"/>
    </xf>
    <xf numFmtId="44" fontId="0" fillId="14" borderId="15" xfId="6" applyFont="1" applyFill="1" applyBorder="1" applyAlignment="1">
      <alignment horizontal="center" vertical="center" wrapText="1"/>
    </xf>
    <xf numFmtId="44" fontId="14" fillId="14" borderId="16" xfId="6" applyFont="1" applyFill="1" applyBorder="1"/>
    <xf numFmtId="0" fontId="14" fillId="0" borderId="0" xfId="0" applyFont="1" applyAlignment="1">
      <alignment horizontal="center" vertical="center"/>
    </xf>
    <xf numFmtId="0" fontId="16" fillId="15" borderId="19" xfId="0" applyFont="1" applyFill="1" applyBorder="1" applyAlignment="1">
      <alignment horizontal="center" vertical="center"/>
    </xf>
    <xf numFmtId="0" fontId="0" fillId="14" borderId="20" xfId="0" applyFill="1" applyBorder="1" applyAlignment="1">
      <alignment vertical="center"/>
    </xf>
    <xf numFmtId="165" fontId="0" fillId="15" borderId="21" xfId="7" applyFont="1" applyFill="1" applyBorder="1" applyAlignment="1">
      <alignment vertical="center"/>
    </xf>
    <xf numFmtId="44" fontId="0" fillId="0" borderId="0" xfId="0" applyNumberFormat="1"/>
    <xf numFmtId="0" fontId="0" fillId="0" borderId="0" xfId="0" applyAlignment="1">
      <alignment wrapText="1"/>
    </xf>
    <xf numFmtId="191" fontId="0" fillId="0" borderId="0" xfId="6" applyNumberFormat="1" applyFont="1"/>
    <xf numFmtId="9" fontId="0" fillId="15" borderId="23" xfId="1" applyFont="1" applyFill="1" applyBorder="1" applyAlignment="1">
      <alignment vertical="center"/>
    </xf>
    <xf numFmtId="9" fontId="0" fillId="15" borderId="25" xfId="1" applyFont="1" applyFill="1" applyBorder="1" applyAlignment="1">
      <alignment vertical="center"/>
    </xf>
    <xf numFmtId="9" fontId="0" fillId="15" borderId="27" xfId="1" applyFont="1" applyFill="1" applyBorder="1" applyAlignment="1">
      <alignment vertical="center"/>
    </xf>
    <xf numFmtId="0" fontId="0" fillId="6" borderId="0" xfId="0" applyFill="1"/>
    <xf numFmtId="0" fontId="14" fillId="0" borderId="0" xfId="0" applyFont="1" applyFill="1" applyAlignment="1">
      <alignment horizontal="right" vertical="center"/>
    </xf>
    <xf numFmtId="44" fontId="14" fillId="0" borderId="0" xfId="6" applyNumberFormat="1" applyFont="1" applyFill="1" applyBorder="1"/>
    <xf numFmtId="44" fontId="14" fillId="0" borderId="0" xfId="6" applyFont="1" applyFill="1" applyBorder="1"/>
    <xf numFmtId="9" fontId="0" fillId="0" borderId="0" xfId="0" applyNumberFormat="1"/>
    <xf numFmtId="9" fontId="0" fillId="15" borderId="31" xfId="1" applyFont="1" applyFill="1" applyBorder="1" applyAlignment="1">
      <alignment vertical="center"/>
    </xf>
    <xf numFmtId="14" fontId="0" fillId="6" borderId="0" xfId="0" applyNumberFormat="1" applyFill="1"/>
    <xf numFmtId="0" fontId="17" fillId="0" borderId="0" xfId="0" applyFont="1" applyFill="1" applyAlignment="1">
      <alignment horizontal="center" vertical="center" wrapText="1"/>
    </xf>
    <xf numFmtId="14" fontId="0" fillId="0" borderId="8" xfId="0" applyNumberFormat="1" applyBorder="1"/>
    <xf numFmtId="9" fontId="0" fillId="0" borderId="32" xfId="1" applyFont="1" applyBorder="1"/>
    <xf numFmtId="44" fontId="0" fillId="0" borderId="32" xfId="0" applyNumberFormat="1" applyBorder="1"/>
    <xf numFmtId="44" fontId="0" fillId="0" borderId="13" xfId="0" applyNumberFormat="1" applyBorder="1"/>
    <xf numFmtId="14" fontId="0" fillId="0" borderId="33" xfId="0" applyNumberFormat="1" applyBorder="1"/>
    <xf numFmtId="9" fontId="0" fillId="0" borderId="0" xfId="1" applyFont="1" applyBorder="1"/>
    <xf numFmtId="44" fontId="0" fillId="0" borderId="0" xfId="0" applyNumberFormat="1" applyBorder="1"/>
    <xf numFmtId="44" fontId="0" fillId="0" borderId="14" xfId="0" applyNumberFormat="1" applyBorder="1"/>
    <xf numFmtId="14" fontId="0" fillId="0" borderId="34" xfId="0" applyNumberFormat="1" applyBorder="1"/>
    <xf numFmtId="9" fontId="0" fillId="0" borderId="35" xfId="1" applyFont="1" applyBorder="1"/>
    <xf numFmtId="44" fontId="0" fillId="0" borderId="35" xfId="0" applyNumberFormat="1" applyBorder="1"/>
    <xf numFmtId="44" fontId="0" fillId="0" borderId="36" xfId="0" applyNumberFormat="1" applyBorder="1"/>
    <xf numFmtId="0" fontId="2" fillId="6" borderId="0" xfId="2" applyFill="1"/>
    <xf numFmtId="176" fontId="2" fillId="6" borderId="0" xfId="2" applyNumberFormat="1" applyFill="1"/>
    <xf numFmtId="178" fontId="2" fillId="6" borderId="0" xfId="2" applyNumberFormat="1" applyFill="1"/>
    <xf numFmtId="44" fontId="2" fillId="6" borderId="0" xfId="6" applyFont="1" applyFill="1"/>
    <xf numFmtId="44" fontId="2" fillId="6" borderId="0" xfId="6" quotePrefix="1" applyFont="1" applyFill="1"/>
    <xf numFmtId="44" fontId="2" fillId="6" borderId="0" xfId="2" applyNumberFormat="1" applyFill="1"/>
    <xf numFmtId="171" fontId="2" fillId="0" borderId="0" xfId="2" applyNumberFormat="1"/>
    <xf numFmtId="44" fontId="0" fillId="0" borderId="0" xfId="6" applyFont="1"/>
    <xf numFmtId="44" fontId="0" fillId="0" borderId="0" xfId="6" applyNumberFormat="1" applyFont="1"/>
    <xf numFmtId="0" fontId="0" fillId="2" borderId="0" xfId="0" applyFill="1"/>
    <xf numFmtId="10" fontId="18" fillId="15" borderId="12" xfId="1" applyNumberFormat="1" applyFont="1" applyFill="1" applyBorder="1" applyAlignment="1">
      <alignment horizontal="center" vertical="center"/>
    </xf>
    <xf numFmtId="0" fontId="14" fillId="17" borderId="12" xfId="0" applyFont="1" applyFill="1" applyBorder="1" applyAlignment="1">
      <alignment horizontal="center" vertical="center" wrapText="1"/>
    </xf>
    <xf numFmtId="0" fontId="0" fillId="14" borderId="22" xfId="0" applyFont="1" applyFill="1" applyBorder="1" applyAlignment="1">
      <alignment vertical="center"/>
    </xf>
    <xf numFmtId="0" fontId="0" fillId="14" borderId="24" xfId="0" applyFill="1" applyBorder="1" applyAlignment="1">
      <alignment vertical="center"/>
    </xf>
    <xf numFmtId="0" fontId="0" fillId="14" borderId="26" xfId="0" applyFill="1" applyBorder="1" applyAlignment="1">
      <alignment vertical="center"/>
    </xf>
    <xf numFmtId="0" fontId="0" fillId="14" borderId="30" xfId="0" applyFont="1" applyFill="1" applyBorder="1" applyAlignment="1">
      <alignment vertical="center"/>
    </xf>
    <xf numFmtId="0" fontId="15" fillId="14" borderId="29" xfId="0" applyFont="1" applyFill="1" applyBorder="1" applyAlignment="1">
      <alignment horizontal="right" vertical="center"/>
    </xf>
    <xf numFmtId="9" fontId="15" fillId="14" borderId="0" xfId="1" applyFont="1" applyFill="1"/>
    <xf numFmtId="0" fontId="0" fillId="0" borderId="0" xfId="0" applyAlignment="1">
      <alignment vertical="center"/>
    </xf>
    <xf numFmtId="0" fontId="0" fillId="0" borderId="4" xfId="0" applyBorder="1" applyAlignment="1">
      <alignment horizontal="right" vertical="center"/>
    </xf>
    <xf numFmtId="44" fontId="0" fillId="14" borderId="38" xfId="6" quotePrefix="1" applyFont="1" applyFill="1" applyBorder="1" applyAlignment="1">
      <alignment vertical="center" wrapText="1"/>
    </xf>
    <xf numFmtId="0" fontId="0" fillId="0" borderId="13" xfId="0" applyBorder="1" applyAlignment="1">
      <alignment vertical="center"/>
    </xf>
    <xf numFmtId="44" fontId="0" fillId="15" borderId="29" xfId="6" applyFont="1" applyFill="1" applyBorder="1" applyAlignment="1">
      <alignment vertical="center"/>
    </xf>
    <xf numFmtId="9" fontId="0" fillId="14" borderId="14" xfId="1" applyFont="1" applyFill="1" applyBorder="1" applyAlignment="1">
      <alignment vertical="center"/>
    </xf>
    <xf numFmtId="44" fontId="0" fillId="14" borderId="29" xfId="6" applyFont="1" applyFill="1" applyBorder="1" applyAlignment="1">
      <alignment vertical="center"/>
    </xf>
    <xf numFmtId="9" fontId="0" fillId="0" borderId="14" xfId="1" applyFont="1" applyBorder="1" applyAlignment="1">
      <alignment vertical="center"/>
    </xf>
    <xf numFmtId="44" fontId="0" fillId="15" borderId="39" xfId="6" applyFont="1" applyFill="1" applyBorder="1" applyAlignment="1">
      <alignment vertical="center"/>
    </xf>
    <xf numFmtId="9" fontId="0" fillId="14" borderId="36" xfId="1" applyFont="1" applyFill="1" applyBorder="1" applyAlignment="1">
      <alignment vertical="center"/>
    </xf>
    <xf numFmtId="9" fontId="0" fillId="14" borderId="40" xfId="1" applyFont="1" applyFill="1" applyBorder="1"/>
    <xf numFmtId="0" fontId="0" fillId="0" borderId="5" xfId="0" applyFill="1" applyBorder="1" applyAlignment="1">
      <alignment horizontal="right" vertical="center"/>
    </xf>
    <xf numFmtId="44" fontId="0" fillId="0" borderId="37" xfId="0" applyNumberFormat="1" applyBorder="1"/>
    <xf numFmtId="14" fontId="0" fillId="0" borderId="0" xfId="0" applyNumberFormat="1"/>
    <xf numFmtId="1" fontId="0" fillId="0" borderId="0" xfId="0" applyNumberFormat="1"/>
    <xf numFmtId="182" fontId="0" fillId="0" borderId="0" xfId="0" applyNumberFormat="1"/>
    <xf numFmtId="0" fontId="16" fillId="16" borderId="12" xfId="0" applyFont="1" applyFill="1" applyBorder="1" applyAlignment="1">
      <alignment horizontal="center" vertical="center" wrapText="1"/>
    </xf>
    <xf numFmtId="0" fontId="0" fillId="0" borderId="0" xfId="0" applyFill="1" applyBorder="1" applyAlignment="1">
      <alignment horizontal="right" vertical="center"/>
    </xf>
    <xf numFmtId="9" fontId="0" fillId="0" borderId="0" xfId="1" applyFont="1" applyFill="1" applyBorder="1"/>
    <xf numFmtId="10" fontId="0" fillId="0" borderId="43" xfId="1" applyNumberFormat="1" applyFont="1" applyBorder="1" applyAlignment="1">
      <alignment horizontal="center" vertical="center"/>
    </xf>
    <xf numFmtId="177" fontId="0" fillId="0" borderId="0" xfId="0" applyNumberFormat="1"/>
    <xf numFmtId="0" fontId="2" fillId="20" borderId="0" xfId="0" applyFont="1" applyFill="1"/>
    <xf numFmtId="2" fontId="2" fillId="2" borderId="0" xfId="9" applyNumberFormat="1" applyFill="1"/>
    <xf numFmtId="14" fontId="2" fillId="2" borderId="0" xfId="9" applyNumberFormat="1" applyFill="1"/>
    <xf numFmtId="0" fontId="2" fillId="2" borderId="0" xfId="9" applyFill="1"/>
    <xf numFmtId="173" fontId="2" fillId="8" borderId="0" xfId="2" quotePrefix="1" applyNumberFormat="1" applyFill="1"/>
    <xf numFmtId="173" fontId="2" fillId="8" borderId="0" xfId="2" applyNumberFormat="1" applyFill="1"/>
    <xf numFmtId="0" fontId="24" fillId="11" borderId="0" xfId="2" applyFont="1" applyFill="1" applyAlignment="1">
      <alignment horizontal="center"/>
    </xf>
    <xf numFmtId="0" fontId="2" fillId="0" borderId="0" xfId="2" applyAlignment="1">
      <alignment horizontal="center"/>
    </xf>
    <xf numFmtId="0" fontId="2" fillId="0" borderId="1" xfId="2" applyBorder="1" applyAlignment="1">
      <alignment horizontal="center" vertical="center"/>
    </xf>
    <xf numFmtId="0" fontId="2" fillId="0" borderId="2" xfId="2" applyBorder="1" applyAlignment="1">
      <alignment horizontal="center" vertical="center"/>
    </xf>
    <xf numFmtId="0" fontId="23" fillId="11" borderId="0" xfId="2" applyFont="1" applyFill="1" applyAlignment="1">
      <alignment horizontal="center" vertical="center"/>
    </xf>
    <xf numFmtId="0" fontId="25" fillId="18" borderId="0" xfId="0" applyFont="1" applyFill="1" applyAlignment="1">
      <alignment horizontal="center" vertical="center" wrapText="1"/>
    </xf>
    <xf numFmtId="0" fontId="17" fillId="0" borderId="0" xfId="0" applyFont="1" applyFill="1" applyAlignment="1">
      <alignment horizontal="center" vertical="center" wrapText="1"/>
    </xf>
    <xf numFmtId="0" fontId="21" fillId="16" borderId="41" xfId="8" applyFont="1" applyFill="1" applyBorder="1" applyAlignment="1">
      <alignment horizontal="center" vertical="center"/>
    </xf>
    <xf numFmtId="0" fontId="21" fillId="16" borderId="42" xfId="8" applyFont="1" applyFill="1" applyBorder="1" applyAlignment="1">
      <alignment horizontal="center" vertical="center"/>
    </xf>
    <xf numFmtId="0" fontId="22" fillId="0" borderId="0" xfId="0" applyFont="1" applyAlignment="1">
      <alignment horizontal="center" vertical="center" wrapText="1"/>
    </xf>
    <xf numFmtId="0" fontId="0" fillId="0" borderId="0" xfId="0"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19" fillId="16" borderId="18" xfId="0" applyFont="1" applyFill="1" applyBorder="1" applyAlignment="1">
      <alignment horizontal="center" vertical="center"/>
    </xf>
    <xf numFmtId="0" fontId="19" fillId="16" borderId="28" xfId="0" applyFont="1" applyFill="1" applyBorder="1" applyAlignment="1">
      <alignment horizontal="center" vertical="center"/>
    </xf>
    <xf numFmtId="0" fontId="19" fillId="16" borderId="19" xfId="0" applyFont="1" applyFill="1" applyBorder="1" applyAlignment="1">
      <alignment horizontal="center" vertical="center"/>
    </xf>
    <xf numFmtId="0" fontId="16" fillId="0" borderId="0" xfId="0" applyFont="1" applyAlignment="1">
      <alignment horizontal="center" vertical="center" wrapText="1"/>
    </xf>
    <xf numFmtId="0" fontId="25" fillId="19" borderId="0" xfId="0" applyFont="1" applyFill="1" applyAlignment="1">
      <alignment horizontal="center" wrapText="1"/>
    </xf>
  </cellXfs>
  <cellStyles count="10">
    <cellStyle name="Collegamento ipertestuale" xfId="8" builtinId="8"/>
    <cellStyle name="Migliaia" xfId="7" builtinId="3"/>
    <cellStyle name="Normale" xfId="0" builtinId="0"/>
    <cellStyle name="Normale 2" xfId="2" xr:uid="{00000000-0005-0000-0000-000003000000}"/>
    <cellStyle name="Normale 2 2" xfId="9" xr:uid="{7A963150-5D1E-4EAD-99B6-E160AB07D20F}"/>
    <cellStyle name="Percentuale" xfId="1" builtinId="5"/>
    <cellStyle name="Percentuale 2" xfId="3" xr:uid="{00000000-0005-0000-0000-000005000000}"/>
    <cellStyle name="Valuta" xfId="6" builtinId="4"/>
    <cellStyle name="Valuta 2" xfId="5" xr:uid="{00000000-0005-0000-0000-000007000000}"/>
    <cellStyle name="Valuta 2 2" xfId="4" xr:uid="{00000000-0005-0000-0000-000008000000}"/>
  </cellStyles>
  <dxfs count="4">
    <dxf>
      <font>
        <b/>
        <i val="0"/>
        <color rgb="FFFF0000"/>
      </font>
    </dxf>
    <dxf>
      <font>
        <b/>
        <i val="0"/>
        <color rgb="FFFF0000"/>
      </font>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2724147</xdr:colOff>
      <xdr:row>0</xdr:row>
      <xdr:rowOff>6569</xdr:rowOff>
    </xdr:from>
    <xdr:to>
      <xdr:col>4</xdr:col>
      <xdr:colOff>0</xdr:colOff>
      <xdr:row>0</xdr:row>
      <xdr:rowOff>2811516</xdr:rowOff>
    </xdr:to>
    <xdr:sp macro="" textlink="">
      <xdr:nvSpPr>
        <xdr:cNvPr id="6" name="Rettangolo 5">
          <a:extLst>
            <a:ext uri="{FF2B5EF4-FFF2-40B4-BE49-F238E27FC236}">
              <a16:creationId xmlns:a16="http://schemas.microsoft.com/office/drawing/2014/main" id="{00000000-0008-0000-0200-000006000000}"/>
            </a:ext>
          </a:extLst>
        </xdr:cNvPr>
        <xdr:cNvSpPr/>
      </xdr:nvSpPr>
      <xdr:spPr>
        <a:xfrm>
          <a:off x="2724147" y="6569"/>
          <a:ext cx="7162146" cy="280494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it-IT" sz="1100" b="1">
              <a:solidFill>
                <a:sysClr val="windowText" lastClr="000000"/>
              </a:solidFill>
              <a:effectLst/>
              <a:latin typeface="+mn-lt"/>
              <a:ea typeface="+mn-ea"/>
              <a:cs typeface="+mn-cs"/>
            </a:rPr>
            <a:t>CONFIGURA</a:t>
          </a:r>
          <a:r>
            <a:rPr lang="it-IT" sz="1100" b="1" baseline="0">
              <a:solidFill>
                <a:sysClr val="windowText" lastClr="000000"/>
              </a:solidFill>
              <a:effectLst/>
              <a:latin typeface="+mn-lt"/>
              <a:ea typeface="+mn-ea"/>
              <a:cs typeface="+mn-cs"/>
            </a:rPr>
            <a:t> IL CONTRIBUTO FINANZIARIO CHE VUOI RICHIEDERE, </a:t>
          </a:r>
          <a:r>
            <a:rPr lang="it-IT" sz="1100" b="1" u="sng" baseline="0">
              <a:solidFill>
                <a:sysClr val="windowText" lastClr="000000"/>
              </a:solidFill>
              <a:effectLst/>
              <a:latin typeface="+mn-lt"/>
              <a:ea typeface="+mn-ea"/>
              <a:cs typeface="+mn-cs"/>
            </a:rPr>
            <a:t>COMPILA LE CELLE AZZURRE </a:t>
          </a:r>
          <a:r>
            <a:rPr lang="it-IT" sz="1100" b="1" baseline="0">
              <a:solidFill>
                <a:sysClr val="windowText" lastClr="000000"/>
              </a:solidFill>
              <a:effectLst/>
              <a:latin typeface="+mn-lt"/>
              <a:ea typeface="+mn-ea"/>
              <a:cs typeface="+mn-cs"/>
            </a:rPr>
            <a:t>SEGUENDO I 4 PASSAGGI.</a:t>
          </a:r>
        </a:p>
        <a:p>
          <a:pPr marL="0" marR="0" lvl="0" indent="0" algn="l" defTabSz="914400" eaLnBrk="1" fontAlgn="auto" latinLnBrk="0" hangingPunct="1">
            <a:lnSpc>
              <a:spcPct val="100000"/>
            </a:lnSpc>
            <a:spcBef>
              <a:spcPts val="0"/>
            </a:spcBef>
            <a:spcAft>
              <a:spcPts val="0"/>
            </a:spcAft>
            <a:buClrTx/>
            <a:buSzTx/>
            <a:buFontTx/>
            <a:buNone/>
            <a:tabLst/>
            <a:defRPr/>
          </a:pPr>
          <a:endParaRPr lang="it-IT" sz="11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100" b="1" baseline="0">
              <a:solidFill>
                <a:sysClr val="windowText" lastClr="000000"/>
              </a:solidFill>
              <a:effectLst/>
              <a:latin typeface="+mn-lt"/>
              <a:ea typeface="+mn-ea"/>
              <a:cs typeface="+mn-cs"/>
            </a:rPr>
            <a:t>N.B.</a:t>
          </a:r>
        </a:p>
        <a:p>
          <a:pPr marL="0" marR="0" lvl="0" indent="0" algn="l" defTabSz="914400" eaLnBrk="1" fontAlgn="auto" latinLnBrk="0" hangingPunct="1">
            <a:lnSpc>
              <a:spcPct val="100000"/>
            </a:lnSpc>
            <a:spcBef>
              <a:spcPts val="0"/>
            </a:spcBef>
            <a:spcAft>
              <a:spcPts val="0"/>
            </a:spcAft>
            <a:buClrTx/>
            <a:buSzTx/>
            <a:buFontTx/>
            <a:buNone/>
            <a:tabLst/>
            <a:defRPr/>
          </a:pPr>
          <a:r>
            <a:rPr lang="it-IT" sz="1100" b="0" baseline="0">
              <a:solidFill>
                <a:sysClr val="windowText" lastClr="000000"/>
              </a:solidFill>
              <a:effectLst/>
              <a:latin typeface="+mn-lt"/>
              <a:ea typeface="+mn-ea"/>
              <a:cs typeface="+mn-cs"/>
            </a:rPr>
            <a:t>Attiva il calcolo</a:t>
          </a:r>
        </a:p>
        <a:p>
          <a:pPr marL="0" marR="0" lvl="0" indent="0" algn="l" defTabSz="914400" eaLnBrk="1" fontAlgn="auto" latinLnBrk="0" hangingPunct="1">
            <a:lnSpc>
              <a:spcPct val="100000"/>
            </a:lnSpc>
            <a:spcBef>
              <a:spcPts val="0"/>
            </a:spcBef>
            <a:spcAft>
              <a:spcPts val="0"/>
            </a:spcAft>
            <a:buClrTx/>
            <a:buSzTx/>
            <a:buFontTx/>
            <a:buNone/>
            <a:tabLst/>
            <a:defRPr/>
          </a:pPr>
          <a:r>
            <a:rPr lang="it-IT" sz="1100" b="0" baseline="0">
              <a:solidFill>
                <a:sysClr val="windowText" lastClr="000000"/>
              </a:solidFill>
              <a:effectLst/>
              <a:latin typeface="+mn-lt"/>
              <a:ea typeface="+mn-ea"/>
              <a:cs typeface="+mn-cs"/>
            </a:rPr>
            <a:t>iterativo fra le </a:t>
          </a:r>
        </a:p>
        <a:p>
          <a:pPr marL="0" marR="0" lvl="0" indent="0" algn="l" defTabSz="914400" eaLnBrk="1" fontAlgn="auto" latinLnBrk="0" hangingPunct="1">
            <a:lnSpc>
              <a:spcPct val="100000"/>
            </a:lnSpc>
            <a:spcBef>
              <a:spcPts val="0"/>
            </a:spcBef>
            <a:spcAft>
              <a:spcPts val="0"/>
            </a:spcAft>
            <a:buClrTx/>
            <a:buSzTx/>
            <a:buFontTx/>
            <a:buNone/>
            <a:tabLst/>
            <a:defRPr/>
          </a:pPr>
          <a:r>
            <a:rPr lang="it-IT" sz="1100" b="0" baseline="0">
              <a:solidFill>
                <a:sysClr val="windowText" lastClr="000000"/>
              </a:solidFill>
              <a:effectLst/>
              <a:latin typeface="+mn-lt"/>
              <a:ea typeface="+mn-ea"/>
              <a:cs typeface="+mn-cs"/>
            </a:rPr>
            <a:t>opzioni di Excel</a:t>
          </a:r>
          <a:endParaRPr lang="it-IT" b="0">
            <a:solidFill>
              <a:sysClr val="windowText" lastClr="000000"/>
            </a:solidFill>
            <a:effectLst/>
          </a:endParaRPr>
        </a:p>
        <a:p>
          <a:pPr algn="l"/>
          <a:endParaRPr lang="it-IT" sz="1100">
            <a:solidFill>
              <a:sysClr val="windowText" lastClr="000000"/>
            </a:solidFill>
          </a:endParaRPr>
        </a:p>
      </xdr:txBody>
    </xdr:sp>
    <xdr:clientData/>
  </xdr:twoCellAnchor>
  <xdr:twoCellAnchor editAs="oneCell">
    <xdr:from>
      <xdr:col>1</xdr:col>
      <xdr:colOff>1137947</xdr:colOff>
      <xdr:row>0</xdr:row>
      <xdr:rowOff>549453</xdr:rowOff>
    </xdr:from>
    <xdr:to>
      <xdr:col>3</xdr:col>
      <xdr:colOff>1359742</xdr:colOff>
      <xdr:row>0</xdr:row>
      <xdr:rowOff>2352675</xdr:rowOff>
    </xdr:to>
    <xdr:pic>
      <xdr:nvPicPr>
        <xdr:cNvPr id="7" name="Immagin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
                  </a14:imgEffect>
                  <a14:imgEffect>
                    <a14:brightnessContrast bright="-9000" contrast="22000"/>
                  </a14:imgEffect>
                </a14:imgLayer>
              </a14:imgProps>
            </a:ext>
          </a:extLst>
        </a:blip>
        <a:stretch>
          <a:fillRect/>
        </a:stretch>
      </xdr:blipFill>
      <xdr:spPr>
        <a:xfrm>
          <a:off x="4932072" y="549453"/>
          <a:ext cx="5576433" cy="1800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rebelli/OneDrive%20-%20Invitalia/BENEFICIO%20ATTUALIZZATO/NIT000XXXX%20-%20ATTUAZIONE_V_5_22_11_ESL_test16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rebelli/Desktop/NITO/002803/NIT0002856%20Excel%20-%20Tagli%20investimenti%20-%20ESL%20-%20nota%20esito%20VT%20-%20Copi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PUT DATI"/>
      <sheetName val="2a-NOTA EROGAZIONE ANTICIPO"/>
      <sheetName val="2b-MANDATO ANTICIPO"/>
      <sheetName val="3a-NOTA EROGAZIONE 1°SAL"/>
      <sheetName val="3b-MANDATO 1°SAL"/>
      <sheetName val="4a-NOTA EROGAZIONE 2°SAL"/>
      <sheetName val="4b-MANDATO 2°SAL"/>
      <sheetName val="5a-NOTA EROGAZIONE SALDO"/>
      <sheetName val="5b-MANDATO SALDO"/>
      <sheetName val="6a-NOTA EROGAZIONE SALDO UNICO"/>
      <sheetName val="6b-MANDATO SALDO UNICO"/>
      <sheetName val="DIFFIDA - REVOCA"/>
      <sheetName val="VARIAZIONI"/>
      <sheetName val="8 - RIEPILOGO FINALE"/>
      <sheetName val="ESL_V2"/>
      <sheetName val="DATI OUT"/>
      <sheetName val="BRIDGE"/>
      <sheetName val="APPOGGIO"/>
      <sheetName val="VARIAZIONI (2)"/>
      <sheetName val="BRIDGE (2)"/>
      <sheetName val="Foglio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6">
          <cell r="A36" t="str">
            <v>SI</v>
          </cell>
        </row>
        <row r="37">
          <cell r="A37" t="str">
            <v>NO</v>
          </cell>
        </row>
        <row r="39">
          <cell r="A39" t="str">
            <v>SEDE</v>
          </cell>
        </row>
        <row r="40">
          <cell r="A40" t="str">
            <v>COMPAGINE</v>
          </cell>
        </row>
        <row r="41">
          <cell r="A41" t="str">
            <v>INVESTIMENTO</v>
          </cell>
        </row>
        <row r="42">
          <cell r="A42" t="str">
            <v>PROROGA</v>
          </cell>
        </row>
        <row r="43">
          <cell r="A43" t="str">
            <v>ALTRO</v>
          </cell>
        </row>
        <row r="56">
          <cell r="A56" t="str">
            <v>Fideiussione bancaria</v>
          </cell>
        </row>
        <row r="57">
          <cell r="A57" t="str">
            <v>Polizza fideiussoria</v>
          </cell>
        </row>
        <row r="60">
          <cell r="A60" t="str">
            <v>Digitale</v>
          </cell>
        </row>
        <row r="61">
          <cell r="A61" t="str">
            <v>Raccomandata</v>
          </cell>
        </row>
        <row r="65">
          <cell r="A65" t="str">
            <v>SS</v>
          </cell>
        </row>
        <row r="66">
          <cell r="A66" t="str">
            <v>SNC</v>
          </cell>
        </row>
        <row r="67">
          <cell r="A67" t="str">
            <v>SAS</v>
          </cell>
        </row>
        <row r="68">
          <cell r="A68" t="str">
            <v>SRL</v>
          </cell>
        </row>
        <row r="69">
          <cell r="A69" t="str">
            <v>SRL UNIP</v>
          </cell>
        </row>
        <row r="70">
          <cell r="A70" t="str">
            <v>SRLS</v>
          </cell>
        </row>
        <row r="71">
          <cell r="A71" t="str">
            <v>SPA</v>
          </cell>
        </row>
        <row r="72">
          <cell r="A72" t="str">
            <v>SAPA</v>
          </cell>
        </row>
        <row r="73">
          <cell r="A73" t="str">
            <v>SOC.COOP</v>
          </cell>
        </row>
        <row r="74">
          <cell r="A74" t="str">
            <v>SOC.COOP SOCIALI</v>
          </cell>
        </row>
        <row r="75">
          <cell r="A75" t="str">
            <v>ENTI COMMERCIALI</v>
          </cell>
        </row>
        <row r="79">
          <cell r="A79" t="str">
            <v>PRODUZIONE DI BENI</v>
          </cell>
        </row>
        <row r="80">
          <cell r="A80" t="str">
            <v>FORNITURA DI SERVIZI</v>
          </cell>
        </row>
        <row r="81">
          <cell r="A81" t="str">
            <v>COMMERCIO</v>
          </cell>
        </row>
        <row r="82">
          <cell r="A82" t="str">
            <v>TURISMO</v>
          </cell>
        </row>
        <row r="83">
          <cell r="A83" t="str">
            <v>FILIERA TURISTICA- CULTURALE</v>
          </cell>
        </row>
        <row r="84">
          <cell r="A84" t="str">
            <v xml:space="preserve"> SERVIZI DI INNOVAZIONE SOCIALE</v>
          </cell>
        </row>
        <row r="88">
          <cell r="A88" t="str">
            <v>FATTURE QUIETANZATE</v>
          </cell>
        </row>
        <row r="89">
          <cell r="A89" t="str">
            <v>FATTURE NON QUIETANZATE</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LI REPORT"/>
      <sheetName val="ESL _istruttoria"/>
      <sheetName val="Dettaglio Investimenti_VT"/>
      <sheetName val="ESL _post_VT"/>
      <sheetName val="Convenienza garanzie"/>
      <sheetName val="ESITO VT"/>
      <sheetName val="RNA"/>
      <sheetName val="Foglio1"/>
      <sheetName val="Foglio3"/>
    </sheetNames>
    <sheetDataSet>
      <sheetData sheetId="0">
        <row r="9">
          <cell r="AJ9" t="str">
            <v>INDUSTRIA</v>
          </cell>
        </row>
        <row r="10">
          <cell r="AJ10" t="str">
            <v>ARTIGIANATO</v>
          </cell>
        </row>
        <row r="11">
          <cell r="AJ11" t="str">
            <v>TRASFORMAZIONE PRODOTTI AGRICOLI</v>
          </cell>
        </row>
        <row r="12">
          <cell r="AJ12" t="str">
            <v>TURISMO</v>
          </cell>
        </row>
        <row r="13">
          <cell r="AJ13" t="str">
            <v>ALTRI SETTORI</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c.europa.eu/competition/state_aid/legislation/reference_rate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8"/>
  <dimension ref="A1:BW55"/>
  <sheetViews>
    <sheetView zoomScaleNormal="100" workbookViewId="0">
      <selection activeCell="D13" sqref="D13"/>
    </sheetView>
  </sheetViews>
  <sheetFormatPr defaultColWidth="8.7265625" defaultRowHeight="12.5" x14ac:dyDescent="0.25"/>
  <cols>
    <col min="1" max="3" width="11" style="1" customWidth="1"/>
    <col min="4" max="4" width="17.1796875" style="1" customWidth="1"/>
    <col min="5" max="14" width="11" style="1" customWidth="1"/>
    <col min="15" max="15" width="14.54296875" style="1" customWidth="1"/>
    <col min="16" max="109" width="11" style="1" customWidth="1"/>
    <col min="110" max="16384" width="8.7265625" style="1"/>
  </cols>
  <sheetData>
    <row r="1" spans="1:75" ht="25" x14ac:dyDescent="0.5">
      <c r="A1" s="170" t="s">
        <v>110</v>
      </c>
      <c r="B1" s="170"/>
      <c r="C1" s="170"/>
    </row>
    <row r="3" spans="1:75" x14ac:dyDescent="0.25">
      <c r="B3" s="1" t="s">
        <v>0</v>
      </c>
      <c r="D3" s="1" t="s">
        <v>1</v>
      </c>
      <c r="G3" s="5" t="s">
        <v>93</v>
      </c>
      <c r="M3" s="1" t="s">
        <v>2</v>
      </c>
      <c r="R3" s="1" t="s">
        <v>3</v>
      </c>
      <c r="U3" s="171" t="s">
        <v>4</v>
      </c>
      <c r="V3" s="171"/>
      <c r="W3" s="171"/>
      <c r="X3" s="171"/>
      <c r="Y3" s="171"/>
      <c r="AE3" s="171" t="s">
        <v>5</v>
      </c>
      <c r="AF3" s="171"/>
      <c r="AG3" s="171"/>
      <c r="AH3" s="171"/>
      <c r="AI3" s="171"/>
      <c r="AO3" s="171" t="s">
        <v>6</v>
      </c>
      <c r="AP3" s="171"/>
      <c r="AQ3" s="171"/>
      <c r="AR3" s="171"/>
      <c r="AS3" s="171"/>
      <c r="AY3" s="171" t="s">
        <v>7</v>
      </c>
      <c r="AZ3" s="171"/>
      <c r="BA3" s="171"/>
      <c r="BB3" s="171"/>
      <c r="BC3" s="171"/>
      <c r="BI3" s="171" t="s">
        <v>8</v>
      </c>
      <c r="BJ3" s="171"/>
      <c r="BK3" s="171"/>
      <c r="BL3" s="171"/>
      <c r="BM3" s="171"/>
      <c r="BS3" s="171" t="s">
        <v>9</v>
      </c>
      <c r="BT3" s="171"/>
      <c r="BU3" s="171"/>
      <c r="BV3" s="171"/>
      <c r="BW3" s="171"/>
    </row>
    <row r="4" spans="1:75" x14ac:dyDescent="0.25">
      <c r="A4" s="1" t="s">
        <v>10</v>
      </c>
      <c r="B4" s="2">
        <f>'ESL_V2 (2)'!B4</f>
        <v>0</v>
      </c>
      <c r="D4" s="69">
        <f ca="1">-1*(V44+AF44+AP44+AZ44+BJ44+BT44)</f>
        <v>0</v>
      </c>
      <c r="G4" s="78" t="e">
        <f ca="1">(D4+D7)/SUM(J13:J18)</f>
        <v>#DIV/0!</v>
      </c>
      <c r="H4" s="1">
        <v>2.0589181210096001E-2</v>
      </c>
      <c r="I4" s="131" t="e">
        <f ca="1">G4-H4</f>
        <v>#DIV/0!</v>
      </c>
    </row>
    <row r="5" spans="1:75" x14ac:dyDescent="0.25">
      <c r="M5" s="1" t="s">
        <v>11</v>
      </c>
      <c r="N5" s="4">
        <v>0</v>
      </c>
    </row>
    <row r="6" spans="1:75" ht="13" x14ac:dyDescent="0.25">
      <c r="A6" s="1" t="s">
        <v>12</v>
      </c>
      <c r="B6" s="9">
        <f ca="1">B4+IFERROR(Foglio1!E17,0.01)</f>
        <v>2.1999999999999999E-2</v>
      </c>
      <c r="D6" s="1" t="s">
        <v>94</v>
      </c>
      <c r="M6" s="1" t="s">
        <v>13</v>
      </c>
      <c r="N6" s="6">
        <v>0.75</v>
      </c>
      <c r="R6" s="1" t="s">
        <v>14</v>
      </c>
      <c r="S6" s="1">
        <f ca="1">C13*B20</f>
        <v>0</v>
      </c>
      <c r="U6" s="1" t="s">
        <v>15</v>
      </c>
      <c r="V6" s="7" t="s">
        <v>16</v>
      </c>
      <c r="W6" s="8" t="s">
        <v>17</v>
      </c>
      <c r="X6" s="8" t="s">
        <v>18</v>
      </c>
      <c r="Y6" s="8" t="s">
        <v>19</v>
      </c>
      <c r="AB6" s="1" t="s">
        <v>20</v>
      </c>
      <c r="AC6" s="73">
        <f ca="1">C14*$B$20</f>
        <v>0</v>
      </c>
      <c r="AE6" s="1" t="s">
        <v>15</v>
      </c>
      <c r="AF6" s="7" t="s">
        <v>16</v>
      </c>
      <c r="AG6" s="8" t="s">
        <v>17</v>
      </c>
      <c r="AH6" s="8" t="s">
        <v>18</v>
      </c>
      <c r="AI6" s="8" t="s">
        <v>19</v>
      </c>
      <c r="AL6" s="1" t="s">
        <v>20</v>
      </c>
      <c r="AM6" s="1">
        <f ca="1">C15*$B$20</f>
        <v>0</v>
      </c>
      <c r="AO6" s="1" t="s">
        <v>15</v>
      </c>
      <c r="AP6" s="7" t="s">
        <v>16</v>
      </c>
      <c r="AQ6" s="8" t="s">
        <v>17</v>
      </c>
      <c r="AR6" s="8" t="s">
        <v>18</v>
      </c>
      <c r="AS6" s="8" t="s">
        <v>19</v>
      </c>
      <c r="AV6" s="1" t="s">
        <v>20</v>
      </c>
      <c r="AW6" s="1">
        <f ca="1">C16*$B$20</f>
        <v>0</v>
      </c>
      <c r="AY6" s="1" t="s">
        <v>15</v>
      </c>
      <c r="AZ6" s="7" t="s">
        <v>16</v>
      </c>
      <c r="BA6" s="8" t="s">
        <v>17</v>
      </c>
      <c r="BB6" s="8" t="s">
        <v>18</v>
      </c>
      <c r="BC6" s="8" t="s">
        <v>19</v>
      </c>
      <c r="BF6" s="1" t="s">
        <v>20</v>
      </c>
      <c r="BG6" s="1">
        <f ca="1">C17*$B$20</f>
        <v>0</v>
      </c>
      <c r="BI6" s="1" t="s">
        <v>15</v>
      </c>
      <c r="BJ6" s="7" t="s">
        <v>16</v>
      </c>
      <c r="BK6" s="8" t="s">
        <v>17</v>
      </c>
      <c r="BL6" s="8" t="s">
        <v>18</v>
      </c>
      <c r="BM6" s="8" t="s">
        <v>19</v>
      </c>
      <c r="BP6" s="1" t="s">
        <v>20</v>
      </c>
      <c r="BQ6" s="1">
        <f>C18*$B$20</f>
        <v>0</v>
      </c>
      <c r="BS6" s="1" t="s">
        <v>15</v>
      </c>
      <c r="BT6" s="7" t="s">
        <v>16</v>
      </c>
      <c r="BU6" s="8" t="s">
        <v>17</v>
      </c>
      <c r="BV6" s="8" t="s">
        <v>18</v>
      </c>
      <c r="BW6" s="8" t="s">
        <v>19</v>
      </c>
    </row>
    <row r="7" spans="1:75" ht="15" thickBot="1" x14ac:dyDescent="0.4">
      <c r="A7" s="1" t="s">
        <v>21</v>
      </c>
      <c r="B7" s="9">
        <f>B4+0.01</f>
        <v>0.01</v>
      </c>
      <c r="D7" s="3">
        <f>SUM(L13:L18)</f>
        <v>0</v>
      </c>
      <c r="R7" s="1" t="s">
        <v>22</v>
      </c>
      <c r="S7" s="10">
        <f>((1+B7)^(1/2))-1</f>
        <v>4.9875621120889502E-3</v>
      </c>
      <c r="X7" s="1">
        <f ca="1">S6</f>
        <v>0</v>
      </c>
      <c r="AB7" s="1" t="s">
        <v>22</v>
      </c>
      <c r="AC7" s="10">
        <f>((1+$B$7)^(1/2))-1</f>
        <v>4.9875621120889502E-3</v>
      </c>
      <c r="AH7" s="1">
        <f ca="1">AC6</f>
        <v>0</v>
      </c>
      <c r="AL7" s="1" t="s">
        <v>22</v>
      </c>
      <c r="AM7" s="10">
        <f>((1+$B$7)^(1/2))-1</f>
        <v>4.9875621120889502E-3</v>
      </c>
      <c r="AR7" s="1">
        <f ca="1">AM6</f>
        <v>0</v>
      </c>
      <c r="AV7" s="1" t="s">
        <v>22</v>
      </c>
      <c r="AW7" s="10">
        <f>((1+$B$7)^(1/2))-1</f>
        <v>4.9875621120889502E-3</v>
      </c>
      <c r="BB7" s="1">
        <f ca="1">AW6</f>
        <v>0</v>
      </c>
      <c r="BF7" s="1" t="s">
        <v>22</v>
      </c>
      <c r="BG7" s="10">
        <f>((1+$B$7)^(1/2))-1</f>
        <v>4.9875621120889502E-3</v>
      </c>
      <c r="BL7" s="1">
        <f ca="1">BG6</f>
        <v>0</v>
      </c>
      <c r="BP7" s="1" t="s">
        <v>22</v>
      </c>
      <c r="BQ7" s="10">
        <f>((1+$B$7)^(1/2))-1</f>
        <v>4.9875621120889502E-3</v>
      </c>
      <c r="BV7" s="1">
        <f>BQ6</f>
        <v>0</v>
      </c>
    </row>
    <row r="8" spans="1:75" ht="15" thickBot="1" x14ac:dyDescent="0.4">
      <c r="A8" s="1" t="s">
        <v>87</v>
      </c>
      <c r="B8" s="4">
        <v>10</v>
      </c>
      <c r="C8" s="11"/>
      <c r="D8" s="1" t="s">
        <v>95</v>
      </c>
      <c r="N8" s="172" t="s">
        <v>23</v>
      </c>
      <c r="O8" s="173"/>
      <c r="R8" s="1" t="s">
        <v>24</v>
      </c>
      <c r="S8" s="12">
        <f ca="1">((1+B6)^(1/2))-1</f>
        <v>1.0940156488008945E-2</v>
      </c>
      <c r="U8" s="1">
        <v>1</v>
      </c>
      <c r="V8" s="13">
        <f ca="1">X7*(($S$14))</f>
        <v>0</v>
      </c>
      <c r="W8" s="14">
        <f ca="1">$S$18</f>
        <v>0</v>
      </c>
      <c r="X8" s="15">
        <f ca="1">X7-Y8</f>
        <v>0</v>
      </c>
      <c r="Y8" s="15">
        <f ca="1">W8-V8</f>
        <v>0</v>
      </c>
      <c r="AB8" s="1" t="s">
        <v>24</v>
      </c>
      <c r="AC8" s="12">
        <f ca="1">((1+$B$6)^(1/2))-1</f>
        <v>1.0940156488008945E-2</v>
      </c>
      <c r="AE8" s="1">
        <v>1</v>
      </c>
      <c r="AF8" s="13" t="e">
        <f ca="1">AH7*(($AC$14))</f>
        <v>#VALUE!</v>
      </c>
      <c r="AG8" s="14" t="e">
        <f ca="1">$AC$18</f>
        <v>#VALUE!</v>
      </c>
      <c r="AH8" s="15" t="e">
        <f ca="1">AH7-AI8</f>
        <v>#VALUE!</v>
      </c>
      <c r="AI8" s="15" t="e">
        <f ca="1">AG8-AF8</f>
        <v>#VALUE!</v>
      </c>
      <c r="AL8" s="1" t="s">
        <v>24</v>
      </c>
      <c r="AM8" s="12">
        <f ca="1">((1+$B$6)^(1/2))-1</f>
        <v>1.0940156488008945E-2</v>
      </c>
      <c r="AO8" s="1">
        <v>1</v>
      </c>
      <c r="AP8" s="13" t="e">
        <f ca="1">AR7*(($AM$14))</f>
        <v>#VALUE!</v>
      </c>
      <c r="AQ8" s="14" t="e">
        <f ca="1">$AM$18</f>
        <v>#VALUE!</v>
      </c>
      <c r="AR8" s="15" t="e">
        <f ca="1">AR7-AS8</f>
        <v>#VALUE!</v>
      </c>
      <c r="AS8" s="15" t="e">
        <f ca="1">AQ8-AP8</f>
        <v>#VALUE!</v>
      </c>
      <c r="AV8" s="1" t="s">
        <v>24</v>
      </c>
      <c r="AW8" s="12">
        <f ca="1">((1+$B$6)^(1/2))-1</f>
        <v>1.0940156488008945E-2</v>
      </c>
      <c r="AY8" s="1">
        <v>1</v>
      </c>
      <c r="AZ8" s="13" t="e">
        <f ca="1">BB7*(($AW$14))</f>
        <v>#VALUE!</v>
      </c>
      <c r="BA8" s="14" t="e">
        <f ca="1">$AW$18</f>
        <v>#VALUE!</v>
      </c>
      <c r="BB8" s="15" t="e">
        <f ca="1">BB7-BC8</f>
        <v>#VALUE!</v>
      </c>
      <c r="BC8" s="15" t="e">
        <f ca="1">BA8-AZ8</f>
        <v>#VALUE!</v>
      </c>
      <c r="BF8" s="1" t="s">
        <v>24</v>
      </c>
      <c r="BG8" s="12">
        <f ca="1">((1+$B$6)^(1/2))-1</f>
        <v>1.0940156488008945E-2</v>
      </c>
      <c r="BI8" s="1">
        <v>1</v>
      </c>
      <c r="BJ8" s="13" t="e">
        <f ca="1">BL7*((BG14))</f>
        <v>#VALUE!</v>
      </c>
      <c r="BK8" s="14" t="e">
        <f ca="1">$BG$18</f>
        <v>#VALUE!</v>
      </c>
      <c r="BL8" s="15" t="e">
        <f ca="1">BL7-BM8</f>
        <v>#VALUE!</v>
      </c>
      <c r="BM8" s="15" t="e">
        <f ca="1">BK8-BJ8</f>
        <v>#VALUE!</v>
      </c>
      <c r="BP8" s="1" t="s">
        <v>24</v>
      </c>
      <c r="BQ8" s="12">
        <f ca="1">((1+$B$6)^(1/2))-1</f>
        <v>1.0940156488008945E-2</v>
      </c>
      <c r="BS8" s="1">
        <v>1</v>
      </c>
      <c r="BT8" s="13">
        <f ca="1">BV7*((BQ14))</f>
        <v>0</v>
      </c>
      <c r="BU8" s="14">
        <f ca="1">$BQ$18</f>
        <v>0</v>
      </c>
      <c r="BV8" s="15">
        <f ca="1">BV7-BW8</f>
        <v>0</v>
      </c>
      <c r="BW8" s="15">
        <f ca="1">BU8-BT8</f>
        <v>0</v>
      </c>
    </row>
    <row r="9" spans="1:75" ht="14.5" x14ac:dyDescent="0.35">
      <c r="D9" s="3">
        <f ca="1">D4+D7</f>
        <v>0</v>
      </c>
      <c r="M9" s="16"/>
      <c r="N9" s="17">
        <v>1</v>
      </c>
      <c r="O9" s="17">
        <v>2</v>
      </c>
      <c r="R9" s="1" t="s">
        <v>25</v>
      </c>
      <c r="S9" s="18">
        <f>B8</f>
        <v>10</v>
      </c>
      <c r="U9" s="1">
        <v>2</v>
      </c>
      <c r="V9" s="13">
        <f ca="1">X8*(($S$8))</f>
        <v>0</v>
      </c>
      <c r="W9" s="14">
        <f t="shared" ref="W9:W27" ca="1" si="0">$S$18</f>
        <v>0</v>
      </c>
      <c r="X9" s="15">
        <f t="shared" ref="X9:X27" ca="1" si="1">X8-Y9</f>
        <v>0</v>
      </c>
      <c r="Y9" s="15">
        <f t="shared" ref="Y9:Y27" ca="1" si="2">W9-V9</f>
        <v>0</v>
      </c>
      <c r="AB9" s="1" t="s">
        <v>25</v>
      </c>
      <c r="AC9" s="18">
        <f>S9</f>
        <v>10</v>
      </c>
      <c r="AE9" s="1">
        <v>2</v>
      </c>
      <c r="AF9" s="13" t="e">
        <f ca="1">AH8*(($AC$8))</f>
        <v>#VALUE!</v>
      </c>
      <c r="AG9" s="14" t="e">
        <f t="shared" ref="AG9:AG27" ca="1" si="3">$AC$18</f>
        <v>#VALUE!</v>
      </c>
      <c r="AH9" s="15" t="e">
        <f t="shared" ref="AH9:AH27" ca="1" si="4">AH8-AI9</f>
        <v>#VALUE!</v>
      </c>
      <c r="AI9" s="15" t="e">
        <f t="shared" ref="AI9:AI27" ca="1" si="5">AG9-AF9</f>
        <v>#VALUE!</v>
      </c>
      <c r="AL9" s="1" t="s">
        <v>25</v>
      </c>
      <c r="AM9" s="18">
        <f>AC9</f>
        <v>10</v>
      </c>
      <c r="AO9" s="1">
        <v>2</v>
      </c>
      <c r="AP9" s="19" t="e">
        <f ca="1">AR8*(($AM$8))</f>
        <v>#VALUE!</v>
      </c>
      <c r="AQ9" s="14" t="e">
        <f t="shared" ref="AQ9:AQ27" ca="1" si="6">$AM$18</f>
        <v>#VALUE!</v>
      </c>
      <c r="AR9" s="15" t="e">
        <f t="shared" ref="AR9:AR22" ca="1" si="7">AR8-AS9</f>
        <v>#VALUE!</v>
      </c>
      <c r="AS9" s="15" t="e">
        <f t="shared" ref="AS9:AS27" ca="1" si="8">AQ9-AP9</f>
        <v>#VALUE!</v>
      </c>
      <c r="AV9" s="1" t="s">
        <v>25</v>
      </c>
      <c r="AW9" s="18">
        <f>AM9</f>
        <v>10</v>
      </c>
      <c r="AY9" s="1">
        <v>2</v>
      </c>
      <c r="AZ9" s="13" t="e">
        <f ca="1">BB8*(($AW$8))</f>
        <v>#VALUE!</v>
      </c>
      <c r="BA9" s="14" t="e">
        <f t="shared" ref="BA9:BA27" ca="1" si="9">$AW$18</f>
        <v>#VALUE!</v>
      </c>
      <c r="BB9" s="15" t="e">
        <f t="shared" ref="BB9:BB22" ca="1" si="10">BB8-BC9</f>
        <v>#VALUE!</v>
      </c>
      <c r="BC9" s="15" t="e">
        <f t="shared" ref="BC9:BC27" ca="1" si="11">BA9-AZ9</f>
        <v>#VALUE!</v>
      </c>
      <c r="BF9" s="1" t="s">
        <v>25</v>
      </c>
      <c r="BG9" s="18">
        <f>AW9</f>
        <v>10</v>
      </c>
      <c r="BI9" s="1">
        <v>2</v>
      </c>
      <c r="BJ9" s="13" t="e">
        <f ca="1">BL8*(($BG$8))</f>
        <v>#VALUE!</v>
      </c>
      <c r="BK9" s="14" t="e">
        <f t="shared" ref="BK9:BK27" ca="1" si="12">$BG$18</f>
        <v>#VALUE!</v>
      </c>
      <c r="BL9" s="15" t="e">
        <f t="shared" ref="BL9:BL22" ca="1" si="13">BL8-BM9</f>
        <v>#VALUE!</v>
      </c>
      <c r="BM9" s="15" t="e">
        <f t="shared" ref="BM9:BM27" ca="1" si="14">BK9-BJ9</f>
        <v>#VALUE!</v>
      </c>
      <c r="BP9" s="1" t="s">
        <v>25</v>
      </c>
      <c r="BQ9" s="18">
        <f>BG9</f>
        <v>10</v>
      </c>
      <c r="BS9" s="1">
        <v>2</v>
      </c>
      <c r="BT9" s="13">
        <f ca="1">BV8*(($BQ$8))</f>
        <v>0</v>
      </c>
      <c r="BU9" s="14">
        <f t="shared" ref="BU9:BU27" ca="1" si="15">$BQ$18</f>
        <v>0</v>
      </c>
      <c r="BV9" s="15">
        <f t="shared" ref="BV9:BV22" ca="1" si="16">BV8-BW9</f>
        <v>0</v>
      </c>
      <c r="BW9" s="15">
        <f t="shared" ref="BW9:BW27" ca="1" si="17">BU9-BT9</f>
        <v>0</v>
      </c>
    </row>
    <row r="10" spans="1:75" ht="14.5" x14ac:dyDescent="0.35">
      <c r="C10" s="11"/>
      <c r="M10" s="16" t="s">
        <v>26</v>
      </c>
      <c r="N10" s="4">
        <f>100000/0.75</f>
        <v>133333.33333333334</v>
      </c>
      <c r="O10" s="4"/>
      <c r="R10" s="20" t="s">
        <v>27</v>
      </c>
      <c r="U10" s="1">
        <v>3</v>
      </c>
      <c r="V10" s="13">
        <f ca="1">X9*(($S$8))</f>
        <v>0</v>
      </c>
      <c r="W10" s="14">
        <f t="shared" ca="1" si="0"/>
        <v>0</v>
      </c>
      <c r="X10" s="15">
        <f t="shared" ca="1" si="1"/>
        <v>0</v>
      </c>
      <c r="Y10" s="15">
        <f t="shared" ca="1" si="2"/>
        <v>0</v>
      </c>
      <c r="AB10" s="20" t="s">
        <v>27</v>
      </c>
      <c r="AE10" s="1">
        <v>3</v>
      </c>
      <c r="AF10" s="13" t="e">
        <f t="shared" ref="AF10:AF27" ca="1" si="18">AH9*(($AC$8))</f>
        <v>#VALUE!</v>
      </c>
      <c r="AG10" s="14" t="e">
        <f t="shared" ca="1" si="3"/>
        <v>#VALUE!</v>
      </c>
      <c r="AH10" s="15" t="e">
        <f t="shared" ca="1" si="4"/>
        <v>#VALUE!</v>
      </c>
      <c r="AI10" s="15" t="e">
        <f t="shared" ca="1" si="5"/>
        <v>#VALUE!</v>
      </c>
      <c r="AL10" s="20" t="s">
        <v>27</v>
      </c>
      <c r="AO10" s="1">
        <v>3</v>
      </c>
      <c r="AP10" s="19" t="e">
        <f t="shared" ref="AP10:AP26" ca="1" si="19">AR9*(($AM$8))</f>
        <v>#VALUE!</v>
      </c>
      <c r="AQ10" s="14" t="e">
        <f t="shared" ca="1" si="6"/>
        <v>#VALUE!</v>
      </c>
      <c r="AR10" s="15" t="e">
        <f t="shared" ca="1" si="7"/>
        <v>#VALUE!</v>
      </c>
      <c r="AS10" s="15" t="e">
        <f t="shared" ca="1" si="8"/>
        <v>#VALUE!</v>
      </c>
      <c r="AV10" s="20" t="s">
        <v>27</v>
      </c>
      <c r="AY10" s="1">
        <v>3</v>
      </c>
      <c r="AZ10" s="13" t="e">
        <f t="shared" ref="AZ10:AZ25" ca="1" si="20">BB9*(($AW$8))</f>
        <v>#VALUE!</v>
      </c>
      <c r="BA10" s="14" t="e">
        <f t="shared" ca="1" si="9"/>
        <v>#VALUE!</v>
      </c>
      <c r="BB10" s="15" t="e">
        <f t="shared" ca="1" si="10"/>
        <v>#VALUE!</v>
      </c>
      <c r="BC10" s="15" t="e">
        <f t="shared" ca="1" si="11"/>
        <v>#VALUE!</v>
      </c>
      <c r="BF10" s="20" t="s">
        <v>27</v>
      </c>
      <c r="BI10" s="1">
        <v>3</v>
      </c>
      <c r="BJ10" s="13" t="e">
        <f t="shared" ref="BJ10:BJ27" ca="1" si="21">BL9*(($BG$8))</f>
        <v>#VALUE!</v>
      </c>
      <c r="BK10" s="14" t="e">
        <f t="shared" ca="1" si="12"/>
        <v>#VALUE!</v>
      </c>
      <c r="BL10" s="15" t="e">
        <f t="shared" ca="1" si="13"/>
        <v>#VALUE!</v>
      </c>
      <c r="BM10" s="15" t="e">
        <f t="shared" ca="1" si="14"/>
        <v>#VALUE!</v>
      </c>
      <c r="BP10" s="20" t="s">
        <v>27</v>
      </c>
      <c r="BS10" s="1">
        <v>3</v>
      </c>
      <c r="BT10" s="21">
        <f ca="1">BV9*(($BQ$8))</f>
        <v>0</v>
      </c>
      <c r="BU10" s="14">
        <f t="shared" ca="1" si="15"/>
        <v>0</v>
      </c>
      <c r="BV10" s="15">
        <f t="shared" ca="1" si="16"/>
        <v>0</v>
      </c>
      <c r="BW10" s="15">
        <f t="shared" ca="1" si="17"/>
        <v>0</v>
      </c>
    </row>
    <row r="11" spans="1:75" ht="14.5" x14ac:dyDescent="0.35">
      <c r="M11" s="1" t="s">
        <v>28</v>
      </c>
      <c r="N11" s="22">
        <f>N10*N6</f>
        <v>100000</v>
      </c>
      <c r="O11" s="22">
        <f>O10*N6</f>
        <v>0</v>
      </c>
      <c r="R11" s="20" t="s">
        <v>29</v>
      </c>
      <c r="S11" s="1">
        <f>2</f>
        <v>2</v>
      </c>
      <c r="U11" s="1">
        <v>4</v>
      </c>
      <c r="V11" s="13">
        <f t="shared" ref="V11:V27" ca="1" si="22">X10*(($S$8))</f>
        <v>0</v>
      </c>
      <c r="W11" s="14">
        <f t="shared" ca="1" si="0"/>
        <v>0</v>
      </c>
      <c r="X11" s="15">
        <f t="shared" ca="1" si="1"/>
        <v>0</v>
      </c>
      <c r="Y11" s="15">
        <f t="shared" ca="1" si="2"/>
        <v>0</v>
      </c>
      <c r="AB11" s="20" t="s">
        <v>29</v>
      </c>
      <c r="AC11" s="1">
        <f>2</f>
        <v>2</v>
      </c>
      <c r="AE11" s="1">
        <v>4</v>
      </c>
      <c r="AF11" s="13" t="e">
        <f t="shared" ca="1" si="18"/>
        <v>#VALUE!</v>
      </c>
      <c r="AG11" s="14" t="e">
        <f t="shared" ca="1" si="3"/>
        <v>#VALUE!</v>
      </c>
      <c r="AH11" s="15" t="e">
        <f t="shared" ca="1" si="4"/>
        <v>#VALUE!</v>
      </c>
      <c r="AI11" s="15" t="e">
        <f t="shared" ca="1" si="5"/>
        <v>#VALUE!</v>
      </c>
      <c r="AL11" s="20" t="s">
        <v>29</v>
      </c>
      <c r="AM11" s="1">
        <f>2</f>
        <v>2</v>
      </c>
      <c r="AO11" s="1">
        <v>4</v>
      </c>
      <c r="AP11" s="19" t="e">
        <f t="shared" ca="1" si="19"/>
        <v>#VALUE!</v>
      </c>
      <c r="AQ11" s="14" t="e">
        <f t="shared" ca="1" si="6"/>
        <v>#VALUE!</v>
      </c>
      <c r="AR11" s="15" t="e">
        <f t="shared" ca="1" si="7"/>
        <v>#VALUE!</v>
      </c>
      <c r="AS11" s="15" t="e">
        <f t="shared" ca="1" si="8"/>
        <v>#VALUE!</v>
      </c>
      <c r="AV11" s="20" t="s">
        <v>29</v>
      </c>
      <c r="AW11" s="1">
        <f>2</f>
        <v>2</v>
      </c>
      <c r="AY11" s="1">
        <v>4</v>
      </c>
      <c r="AZ11" s="13" t="e">
        <f t="shared" ca="1" si="20"/>
        <v>#VALUE!</v>
      </c>
      <c r="BA11" s="14" t="e">
        <f t="shared" ca="1" si="9"/>
        <v>#VALUE!</v>
      </c>
      <c r="BB11" s="15" t="e">
        <f t="shared" ca="1" si="10"/>
        <v>#VALUE!</v>
      </c>
      <c r="BC11" s="15" t="e">
        <f t="shared" ca="1" si="11"/>
        <v>#VALUE!</v>
      </c>
      <c r="BF11" s="20" t="s">
        <v>29</v>
      </c>
      <c r="BG11" s="1">
        <f>2</f>
        <v>2</v>
      </c>
      <c r="BI11" s="1">
        <v>4</v>
      </c>
      <c r="BJ11" s="13" t="e">
        <f t="shared" ca="1" si="21"/>
        <v>#VALUE!</v>
      </c>
      <c r="BK11" s="14" t="e">
        <f t="shared" ca="1" si="12"/>
        <v>#VALUE!</v>
      </c>
      <c r="BL11" s="15" t="e">
        <f t="shared" ca="1" si="13"/>
        <v>#VALUE!</v>
      </c>
      <c r="BM11" s="15" t="e">
        <f t="shared" ca="1" si="14"/>
        <v>#VALUE!</v>
      </c>
      <c r="BP11" s="20" t="s">
        <v>29</v>
      </c>
      <c r="BQ11" s="1">
        <f>2</f>
        <v>2</v>
      </c>
      <c r="BS11" s="1">
        <v>4</v>
      </c>
      <c r="BT11" s="13">
        <f t="shared" ref="BT11:BT27" ca="1" si="23">BV10*(($BQ$8))</f>
        <v>0</v>
      </c>
      <c r="BU11" s="14">
        <f t="shared" ca="1" si="15"/>
        <v>0</v>
      </c>
      <c r="BV11" s="15">
        <f t="shared" ca="1" si="16"/>
        <v>0</v>
      </c>
      <c r="BW11" s="15">
        <f t="shared" ca="1" si="17"/>
        <v>0</v>
      </c>
    </row>
    <row r="12" spans="1:75" ht="14.5" x14ac:dyDescent="0.35">
      <c r="B12" s="1" t="s">
        <v>30</v>
      </c>
      <c r="C12" s="1" t="s">
        <v>90</v>
      </c>
      <c r="D12" s="1" t="s">
        <v>31</v>
      </c>
      <c r="E12" s="1" t="s">
        <v>32</v>
      </c>
      <c r="F12" s="1" t="s">
        <v>33</v>
      </c>
      <c r="G12" s="1" t="s">
        <v>34</v>
      </c>
      <c r="H12" s="1" t="s">
        <v>35</v>
      </c>
      <c r="I12" s="1" t="s">
        <v>88</v>
      </c>
      <c r="J12" s="1" t="s">
        <v>89</v>
      </c>
      <c r="K12" s="1" t="s">
        <v>91</v>
      </c>
      <c r="L12" s="1" t="s">
        <v>92</v>
      </c>
      <c r="U12" s="1">
        <v>5</v>
      </c>
      <c r="V12" s="13">
        <f t="shared" ca="1" si="22"/>
        <v>0</v>
      </c>
      <c r="W12" s="14">
        <f t="shared" ca="1" si="0"/>
        <v>0</v>
      </c>
      <c r="X12" s="15">
        <f t="shared" ca="1" si="1"/>
        <v>0</v>
      </c>
      <c r="Y12" s="15">
        <f t="shared" ca="1" si="2"/>
        <v>0</v>
      </c>
      <c r="AE12" s="1">
        <v>5</v>
      </c>
      <c r="AF12" s="13" t="e">
        <f t="shared" ca="1" si="18"/>
        <v>#VALUE!</v>
      </c>
      <c r="AG12" s="14" t="e">
        <f t="shared" ca="1" si="3"/>
        <v>#VALUE!</v>
      </c>
      <c r="AH12" s="15" t="e">
        <f t="shared" ca="1" si="4"/>
        <v>#VALUE!</v>
      </c>
      <c r="AI12" s="15" t="e">
        <f t="shared" ca="1" si="5"/>
        <v>#VALUE!</v>
      </c>
      <c r="AO12" s="1">
        <v>5</v>
      </c>
      <c r="AP12" s="19" t="e">
        <f t="shared" ca="1" si="19"/>
        <v>#VALUE!</v>
      </c>
      <c r="AQ12" s="14" t="e">
        <f t="shared" ca="1" si="6"/>
        <v>#VALUE!</v>
      </c>
      <c r="AR12" s="15" t="e">
        <f t="shared" ca="1" si="7"/>
        <v>#VALUE!</v>
      </c>
      <c r="AS12" s="15" t="e">
        <f t="shared" ca="1" si="8"/>
        <v>#VALUE!</v>
      </c>
      <c r="AY12" s="1">
        <v>5</v>
      </c>
      <c r="AZ12" s="13" t="e">
        <f t="shared" ca="1" si="20"/>
        <v>#VALUE!</v>
      </c>
      <c r="BA12" s="14" t="e">
        <f t="shared" ca="1" si="9"/>
        <v>#VALUE!</v>
      </c>
      <c r="BB12" s="15" t="e">
        <f t="shared" ca="1" si="10"/>
        <v>#VALUE!</v>
      </c>
      <c r="BC12" s="15" t="e">
        <f t="shared" ca="1" si="11"/>
        <v>#VALUE!</v>
      </c>
      <c r="BI12" s="1">
        <v>5</v>
      </c>
      <c r="BJ12" s="13" t="e">
        <f t="shared" ca="1" si="21"/>
        <v>#VALUE!</v>
      </c>
      <c r="BK12" s="14" t="e">
        <f t="shared" ca="1" si="12"/>
        <v>#VALUE!</v>
      </c>
      <c r="BL12" s="15" t="e">
        <f t="shared" ca="1" si="13"/>
        <v>#VALUE!</v>
      </c>
      <c r="BM12" s="15" t="e">
        <f t="shared" ca="1" si="14"/>
        <v>#VALUE!</v>
      </c>
      <c r="BS12" s="1">
        <v>5</v>
      </c>
      <c r="BT12" s="13">
        <f t="shared" ca="1" si="23"/>
        <v>0</v>
      </c>
      <c r="BU12" s="14">
        <f t="shared" ca="1" si="15"/>
        <v>0</v>
      </c>
      <c r="BV12" s="15">
        <f t="shared" ca="1" si="16"/>
        <v>0</v>
      </c>
      <c r="BW12" s="15">
        <f t="shared" ca="1" si="17"/>
        <v>0</v>
      </c>
    </row>
    <row r="13" spans="1:75" ht="14.5" x14ac:dyDescent="0.35">
      <c r="A13" s="1" t="s">
        <v>36</v>
      </c>
      <c r="B13" s="79">
        <f>Foglio1!H22</f>
        <v>0</v>
      </c>
      <c r="C13" s="80">
        <f ca="1">Foglio1!K22</f>
        <v>0</v>
      </c>
      <c r="D13" s="24">
        <f>_xlfn.DAYS(B23,B13)</f>
        <v>517</v>
      </c>
      <c r="E13" s="1">
        <f t="shared" ref="E13:E18" si="24">+IF(D13&gt;183,183,D13)</f>
        <v>183</v>
      </c>
      <c r="F13" s="1">
        <f t="shared" ref="F13:F18" si="25">((1+$B$7)^(E13/366))-1</f>
        <v>4.9875621120889502E-3</v>
      </c>
      <c r="G13" s="1">
        <f t="shared" ref="G13:G18" si="26">IF(D13&gt;183,D13-183,0)</f>
        <v>334</v>
      </c>
      <c r="H13" s="1">
        <f>(B13-$B$24)/183</f>
        <v>0</v>
      </c>
      <c r="I13" s="80">
        <f ca="1">Foglio1!L22</f>
        <v>0</v>
      </c>
      <c r="J13" s="75">
        <f ca="1">IFERROR(I13*(1+$B$7)^(_xlfn.DAYS($B$24,B13)/366),"")</f>
        <v>0</v>
      </c>
      <c r="K13" s="76"/>
      <c r="L13" s="73">
        <f>IFERROR(K13*(1+$B$7)^(_xlfn.DAYS($B$24,B13)/366),"")</f>
        <v>0</v>
      </c>
      <c r="R13" s="1" t="s">
        <v>37</v>
      </c>
      <c r="S13" s="25">
        <f ca="1">(1-1*((1+S8)^(-S9*S11)))/S8</f>
        <v>17.87587266571143</v>
      </c>
      <c r="T13" s="15"/>
      <c r="U13" s="1">
        <v>6</v>
      </c>
      <c r="V13" s="13">
        <f t="shared" ca="1" si="22"/>
        <v>0</v>
      </c>
      <c r="W13" s="14">
        <f t="shared" ca="1" si="0"/>
        <v>0</v>
      </c>
      <c r="X13" s="15">
        <f t="shared" ca="1" si="1"/>
        <v>0</v>
      </c>
      <c r="Y13" s="15">
        <f t="shared" ca="1" si="2"/>
        <v>0</v>
      </c>
      <c r="AB13" s="1" t="s">
        <v>37</v>
      </c>
      <c r="AC13" s="25">
        <f ca="1">(1-1*((1+AC8)^(-AC9*AC11)))/AC8</f>
        <v>17.87587266571143</v>
      </c>
      <c r="AE13" s="1">
        <v>6</v>
      </c>
      <c r="AF13" s="13" t="e">
        <f t="shared" ca="1" si="18"/>
        <v>#VALUE!</v>
      </c>
      <c r="AG13" s="14" t="e">
        <f t="shared" ca="1" si="3"/>
        <v>#VALUE!</v>
      </c>
      <c r="AH13" s="15" t="e">
        <f t="shared" ca="1" si="4"/>
        <v>#VALUE!</v>
      </c>
      <c r="AI13" s="15" t="e">
        <f t="shared" ca="1" si="5"/>
        <v>#VALUE!</v>
      </c>
      <c r="AL13" s="1" t="s">
        <v>37</v>
      </c>
      <c r="AM13" s="25">
        <f ca="1">(1-1*((1+AM8)^(-AM9*AM11)))/AM8</f>
        <v>17.87587266571143</v>
      </c>
      <c r="AO13" s="1">
        <v>6</v>
      </c>
      <c r="AP13" s="19" t="e">
        <f t="shared" ca="1" si="19"/>
        <v>#VALUE!</v>
      </c>
      <c r="AQ13" s="14" t="e">
        <f t="shared" ca="1" si="6"/>
        <v>#VALUE!</v>
      </c>
      <c r="AR13" s="15" t="e">
        <f t="shared" ca="1" si="7"/>
        <v>#VALUE!</v>
      </c>
      <c r="AS13" s="15" t="e">
        <f t="shared" ca="1" si="8"/>
        <v>#VALUE!</v>
      </c>
      <c r="AV13" s="1" t="s">
        <v>37</v>
      </c>
      <c r="AW13" s="25">
        <f ca="1">(1-1*((1+AW8)^(-AW9*AW11)))/AW8</f>
        <v>17.87587266571143</v>
      </c>
      <c r="AY13" s="1">
        <v>6</v>
      </c>
      <c r="AZ13" s="13" t="e">
        <f t="shared" ca="1" si="20"/>
        <v>#VALUE!</v>
      </c>
      <c r="BA13" s="14" t="e">
        <f t="shared" ca="1" si="9"/>
        <v>#VALUE!</v>
      </c>
      <c r="BB13" s="15" t="e">
        <f t="shared" ca="1" si="10"/>
        <v>#VALUE!</v>
      </c>
      <c r="BC13" s="15" t="e">
        <f t="shared" ca="1" si="11"/>
        <v>#VALUE!</v>
      </c>
      <c r="BF13" s="1" t="s">
        <v>37</v>
      </c>
      <c r="BG13" s="25">
        <f ca="1">(1-1*((1+BG8)^(-BG9*BG11)))/BG8</f>
        <v>17.87587266571143</v>
      </c>
      <c r="BI13" s="1">
        <v>6</v>
      </c>
      <c r="BJ13" s="13" t="e">
        <f t="shared" ca="1" si="21"/>
        <v>#VALUE!</v>
      </c>
      <c r="BK13" s="14" t="e">
        <f t="shared" ca="1" si="12"/>
        <v>#VALUE!</v>
      </c>
      <c r="BL13" s="15" t="e">
        <f t="shared" ca="1" si="13"/>
        <v>#VALUE!</v>
      </c>
      <c r="BM13" s="15" t="e">
        <f t="shared" ca="1" si="14"/>
        <v>#VALUE!</v>
      </c>
      <c r="BP13" s="1" t="s">
        <v>37</v>
      </c>
      <c r="BQ13" s="25">
        <f ca="1">(1-1*((1+BQ8)^(-BQ9*BQ11)))/BQ8</f>
        <v>17.87587266571143</v>
      </c>
      <c r="BS13" s="1">
        <v>6</v>
      </c>
      <c r="BT13" s="13">
        <f t="shared" ca="1" si="23"/>
        <v>0</v>
      </c>
      <c r="BU13" s="14">
        <f t="shared" ca="1" si="15"/>
        <v>0</v>
      </c>
      <c r="BV13" s="15">
        <f t="shared" ca="1" si="16"/>
        <v>0</v>
      </c>
      <c r="BW13" s="15">
        <f t="shared" ca="1" si="17"/>
        <v>0</v>
      </c>
    </row>
    <row r="14" spans="1:75" ht="15.5" x14ac:dyDescent="0.35">
      <c r="A14" s="1" t="s">
        <v>38</v>
      </c>
      <c r="B14" s="79" t="str">
        <f>Foglio1!H23</f>
        <v/>
      </c>
      <c r="C14" s="80">
        <f ca="1">Foglio1!K23</f>
        <v>0</v>
      </c>
      <c r="D14" s="24" t="e">
        <f>_xlfn.DAYS($B$23,B14)</f>
        <v>#VALUE!</v>
      </c>
      <c r="E14" s="1" t="e">
        <f>+IF(D14&gt;183,183,D14)</f>
        <v>#VALUE!</v>
      </c>
      <c r="F14" s="1" t="e">
        <f>((1+$B$7)^(E14/366))-1</f>
        <v>#VALUE!</v>
      </c>
      <c r="G14" s="1" t="e">
        <f>IF(D14&gt;183,D14-183,0)</f>
        <v>#VALUE!</v>
      </c>
      <c r="H14" s="1" t="e">
        <f>(B14-$B$24)/183</f>
        <v>#VALUE!</v>
      </c>
      <c r="I14" s="80">
        <f ca="1">Foglio1!L23</f>
        <v>0</v>
      </c>
      <c r="J14" s="75" t="str">
        <f t="shared" ref="J14:J18" ca="1" si="27">IFERROR(I14*(1+$B$7)^(_xlfn.DAYS($B$24,B14)/366),"")</f>
        <v/>
      </c>
      <c r="K14" s="43"/>
      <c r="L14" s="73" t="str">
        <f t="shared" ref="L14:L17" si="28">IFERROR(K14*(1+$B$7)^(_xlfn.DAYS($B$24,B14)/366),"")</f>
        <v/>
      </c>
      <c r="M14" s="26" t="s">
        <v>39</v>
      </c>
      <c r="N14" s="77">
        <f ca="1">N34+N46</f>
        <v>11453.164052286062</v>
      </c>
      <c r="R14" s="1" t="s">
        <v>40</v>
      </c>
      <c r="S14" s="27">
        <f ca="1">((1+$B$6)^(E13/366))-1</f>
        <v>1.0940156488008945E-2</v>
      </c>
      <c r="U14" s="1">
        <v>7</v>
      </c>
      <c r="V14" s="13">
        <f t="shared" ca="1" si="22"/>
        <v>0</v>
      </c>
      <c r="W14" s="14">
        <f t="shared" ca="1" si="0"/>
        <v>0</v>
      </c>
      <c r="X14" s="15">
        <f t="shared" ca="1" si="1"/>
        <v>0</v>
      </c>
      <c r="Y14" s="15">
        <f t="shared" ca="1" si="2"/>
        <v>0</v>
      </c>
      <c r="AB14" s="1" t="s">
        <v>40</v>
      </c>
      <c r="AC14" s="12" t="e">
        <f ca="1">((1+$B$6)^(E14/366))-1</f>
        <v>#VALUE!</v>
      </c>
      <c r="AE14" s="1">
        <v>7</v>
      </c>
      <c r="AF14" s="13" t="e">
        <f t="shared" ca="1" si="18"/>
        <v>#VALUE!</v>
      </c>
      <c r="AG14" s="14" t="e">
        <f t="shared" ca="1" si="3"/>
        <v>#VALUE!</v>
      </c>
      <c r="AH14" s="15" t="e">
        <f t="shared" ca="1" si="4"/>
        <v>#VALUE!</v>
      </c>
      <c r="AI14" s="15" t="e">
        <f t="shared" ca="1" si="5"/>
        <v>#VALUE!</v>
      </c>
      <c r="AL14" s="1" t="s">
        <v>40</v>
      </c>
      <c r="AM14" s="12" t="e">
        <f ca="1">((1+$B$6)^(E15/366))-1</f>
        <v>#VALUE!</v>
      </c>
      <c r="AO14" s="1">
        <v>7</v>
      </c>
      <c r="AP14" s="19" t="e">
        <f t="shared" ca="1" si="19"/>
        <v>#VALUE!</v>
      </c>
      <c r="AQ14" s="14" t="e">
        <f t="shared" ca="1" si="6"/>
        <v>#VALUE!</v>
      </c>
      <c r="AR14" s="15" t="e">
        <f t="shared" ca="1" si="7"/>
        <v>#VALUE!</v>
      </c>
      <c r="AS14" s="15" t="e">
        <f t="shared" ca="1" si="8"/>
        <v>#VALUE!</v>
      </c>
      <c r="AV14" s="1" t="s">
        <v>40</v>
      </c>
      <c r="AW14" s="12" t="e">
        <f ca="1">((1+$B$6)^(E16/366))-1</f>
        <v>#VALUE!</v>
      </c>
      <c r="AY14" s="1">
        <v>7</v>
      </c>
      <c r="AZ14" s="13" t="e">
        <f t="shared" ca="1" si="20"/>
        <v>#VALUE!</v>
      </c>
      <c r="BA14" s="14" t="e">
        <f t="shared" ca="1" si="9"/>
        <v>#VALUE!</v>
      </c>
      <c r="BB14" s="15" t="e">
        <f t="shared" ca="1" si="10"/>
        <v>#VALUE!</v>
      </c>
      <c r="BC14" s="15" t="e">
        <f t="shared" ca="1" si="11"/>
        <v>#VALUE!</v>
      </c>
      <c r="BF14" s="1" t="s">
        <v>40</v>
      </c>
      <c r="BG14" s="12" t="e">
        <f ca="1">((1+$B$6)^(E17/366))-1</f>
        <v>#VALUE!</v>
      </c>
      <c r="BI14" s="1">
        <v>7</v>
      </c>
      <c r="BJ14" s="13" t="e">
        <f t="shared" ca="1" si="21"/>
        <v>#VALUE!</v>
      </c>
      <c r="BK14" s="14" t="e">
        <f t="shared" ca="1" si="12"/>
        <v>#VALUE!</v>
      </c>
      <c r="BL14" s="15" t="e">
        <f t="shared" ca="1" si="13"/>
        <v>#VALUE!</v>
      </c>
      <c r="BM14" s="15" t="e">
        <f t="shared" ca="1" si="14"/>
        <v>#VALUE!</v>
      </c>
      <c r="BP14" s="1" t="s">
        <v>40</v>
      </c>
      <c r="BQ14" s="12">
        <f ca="1">((1+$B$6)^(E18/366))-1</f>
        <v>1.0940156488008945E-2</v>
      </c>
      <c r="BS14" s="1">
        <v>7</v>
      </c>
      <c r="BT14" s="13">
        <f t="shared" ca="1" si="23"/>
        <v>0</v>
      </c>
      <c r="BU14" s="14">
        <f t="shared" ca="1" si="15"/>
        <v>0</v>
      </c>
      <c r="BV14" s="15">
        <f t="shared" ca="1" si="16"/>
        <v>0</v>
      </c>
      <c r="BW14" s="15">
        <f t="shared" ca="1" si="17"/>
        <v>0</v>
      </c>
    </row>
    <row r="15" spans="1:75" ht="14.5" x14ac:dyDescent="0.35">
      <c r="A15" s="1" t="s">
        <v>41</v>
      </c>
      <c r="B15" s="79" t="str">
        <f>Foglio1!H24</f>
        <v/>
      </c>
      <c r="C15" s="80">
        <f ca="1">Foglio1!K24</f>
        <v>0</v>
      </c>
      <c r="D15" s="24" t="e">
        <f>_xlfn.DAYS($B$23,B15)</f>
        <v>#VALUE!</v>
      </c>
      <c r="E15" s="1" t="e">
        <f t="shared" si="24"/>
        <v>#VALUE!</v>
      </c>
      <c r="F15" s="1" t="e">
        <f>((1+$B$7)^(E15/366))-1</f>
        <v>#VALUE!</v>
      </c>
      <c r="G15" s="1" t="e">
        <f t="shared" si="26"/>
        <v>#VALUE!</v>
      </c>
      <c r="H15" s="1" t="e">
        <f>(B15-$B$24)/183</f>
        <v>#VALUE!</v>
      </c>
      <c r="I15" s="80">
        <f ca="1">Foglio1!L24</f>
        <v>0</v>
      </c>
      <c r="J15" s="75" t="str">
        <f t="shared" ca="1" si="27"/>
        <v/>
      </c>
      <c r="K15" s="43"/>
      <c r="L15" s="73" t="str">
        <f t="shared" si="28"/>
        <v/>
      </c>
      <c r="R15" s="1" t="s">
        <v>42</v>
      </c>
      <c r="S15" s="10">
        <f>F13</f>
        <v>4.9875621120889502E-3</v>
      </c>
      <c r="U15" s="1">
        <v>8</v>
      </c>
      <c r="V15" s="13">
        <f t="shared" ca="1" si="22"/>
        <v>0</v>
      </c>
      <c r="W15" s="14">
        <f t="shared" ca="1" si="0"/>
        <v>0</v>
      </c>
      <c r="X15" s="15">
        <f t="shared" ca="1" si="1"/>
        <v>0</v>
      </c>
      <c r="Y15" s="15">
        <f t="shared" ca="1" si="2"/>
        <v>0</v>
      </c>
      <c r="AB15" s="1" t="s">
        <v>42</v>
      </c>
      <c r="AC15" s="28" t="e">
        <f>F14</f>
        <v>#VALUE!</v>
      </c>
      <c r="AE15" s="1">
        <v>8</v>
      </c>
      <c r="AF15" s="13" t="e">
        <f t="shared" ca="1" si="18"/>
        <v>#VALUE!</v>
      </c>
      <c r="AG15" s="14" t="e">
        <f t="shared" ca="1" si="3"/>
        <v>#VALUE!</v>
      </c>
      <c r="AH15" s="15" t="e">
        <f t="shared" ca="1" si="4"/>
        <v>#VALUE!</v>
      </c>
      <c r="AI15" s="15" t="e">
        <f t="shared" ca="1" si="5"/>
        <v>#VALUE!</v>
      </c>
      <c r="AL15" s="1" t="s">
        <v>42</v>
      </c>
      <c r="AM15" s="28" t="e">
        <f>F15</f>
        <v>#VALUE!</v>
      </c>
      <c r="AO15" s="1">
        <v>8</v>
      </c>
      <c r="AP15" s="19" t="e">
        <f t="shared" ca="1" si="19"/>
        <v>#VALUE!</v>
      </c>
      <c r="AQ15" s="14" t="e">
        <f t="shared" ca="1" si="6"/>
        <v>#VALUE!</v>
      </c>
      <c r="AR15" s="15" t="e">
        <f t="shared" ca="1" si="7"/>
        <v>#VALUE!</v>
      </c>
      <c r="AS15" s="15" t="e">
        <f t="shared" ca="1" si="8"/>
        <v>#VALUE!</v>
      </c>
      <c r="AV15" s="1" t="s">
        <v>42</v>
      </c>
      <c r="AW15" s="28" t="e">
        <f>F16</f>
        <v>#VALUE!</v>
      </c>
      <c r="AY15" s="1">
        <v>8</v>
      </c>
      <c r="AZ15" s="13" t="e">
        <f t="shared" ca="1" si="20"/>
        <v>#VALUE!</v>
      </c>
      <c r="BA15" s="14" t="e">
        <f t="shared" ca="1" si="9"/>
        <v>#VALUE!</v>
      </c>
      <c r="BB15" s="15" t="e">
        <f t="shared" ca="1" si="10"/>
        <v>#VALUE!</v>
      </c>
      <c r="BC15" s="15" t="e">
        <f t="shared" ca="1" si="11"/>
        <v>#VALUE!</v>
      </c>
      <c r="BF15" s="1" t="s">
        <v>42</v>
      </c>
      <c r="BG15" s="28" t="e">
        <f>F17</f>
        <v>#VALUE!</v>
      </c>
      <c r="BI15" s="1">
        <v>8</v>
      </c>
      <c r="BJ15" s="13" t="e">
        <f t="shared" ca="1" si="21"/>
        <v>#VALUE!</v>
      </c>
      <c r="BK15" s="14" t="e">
        <f t="shared" ca="1" si="12"/>
        <v>#VALUE!</v>
      </c>
      <c r="BL15" s="15" t="e">
        <f t="shared" ca="1" si="13"/>
        <v>#VALUE!</v>
      </c>
      <c r="BM15" s="15" t="e">
        <f t="shared" ca="1" si="14"/>
        <v>#VALUE!</v>
      </c>
      <c r="BP15" s="1" t="s">
        <v>42</v>
      </c>
      <c r="BQ15" s="28">
        <f>F18</f>
        <v>4.9875621120889502E-3</v>
      </c>
      <c r="BS15" s="1">
        <v>8</v>
      </c>
      <c r="BT15" s="13">
        <f t="shared" ca="1" si="23"/>
        <v>0</v>
      </c>
      <c r="BU15" s="14">
        <f t="shared" ca="1" si="15"/>
        <v>0</v>
      </c>
      <c r="BV15" s="15">
        <f t="shared" ca="1" si="16"/>
        <v>0</v>
      </c>
      <c r="BW15" s="15">
        <f t="shared" ca="1" si="17"/>
        <v>0</v>
      </c>
    </row>
    <row r="16" spans="1:75" ht="14.5" x14ac:dyDescent="0.35">
      <c r="A16" s="1" t="s">
        <v>43</v>
      </c>
      <c r="B16" s="79" t="str">
        <f>Foglio1!H25</f>
        <v/>
      </c>
      <c r="C16" s="80">
        <f ca="1">Foglio1!K25</f>
        <v>0</v>
      </c>
      <c r="D16" s="24" t="e">
        <f>_xlfn.DAYS($B$23,B16)</f>
        <v>#VALUE!</v>
      </c>
      <c r="E16" s="1" t="e">
        <f t="shared" si="24"/>
        <v>#VALUE!</v>
      </c>
      <c r="F16" s="1" t="e">
        <f>((1+$B$7)^(E16/366))-1</f>
        <v>#VALUE!</v>
      </c>
      <c r="G16" s="1" t="e">
        <f>IF(D16&gt;183,D16-183,0)</f>
        <v>#VALUE!</v>
      </c>
      <c r="H16" s="1" t="e">
        <f t="shared" ref="H16:H18" si="29">(B16-$B$24)/183</f>
        <v>#VALUE!</v>
      </c>
      <c r="I16" s="80">
        <f ca="1">Foglio1!L25</f>
        <v>0</v>
      </c>
      <c r="J16" s="75" t="str">
        <f t="shared" ca="1" si="27"/>
        <v/>
      </c>
      <c r="K16" s="43"/>
      <c r="L16" s="73" t="str">
        <f t="shared" si="28"/>
        <v/>
      </c>
      <c r="R16" s="1" t="s">
        <v>44</v>
      </c>
      <c r="S16" s="1">
        <f ca="1">+(S6*S8)-(S6*S14)</f>
        <v>0</v>
      </c>
      <c r="U16" s="1">
        <v>9</v>
      </c>
      <c r="V16" s="13">
        <f t="shared" ca="1" si="22"/>
        <v>0</v>
      </c>
      <c r="W16" s="14">
        <f t="shared" ca="1" si="0"/>
        <v>0</v>
      </c>
      <c r="X16" s="15">
        <f t="shared" ca="1" si="1"/>
        <v>0</v>
      </c>
      <c r="Y16" s="15">
        <f t="shared" ca="1" si="2"/>
        <v>0</v>
      </c>
      <c r="AB16" s="1" t="s">
        <v>44</v>
      </c>
      <c r="AC16" s="10" t="e">
        <f ca="1">+(AC6*AC8)-(AC6*AC14)</f>
        <v>#VALUE!</v>
      </c>
      <c r="AE16" s="1">
        <v>9</v>
      </c>
      <c r="AF16" s="13" t="e">
        <f t="shared" ca="1" si="18"/>
        <v>#VALUE!</v>
      </c>
      <c r="AG16" s="14" t="e">
        <f t="shared" ca="1" si="3"/>
        <v>#VALUE!</v>
      </c>
      <c r="AH16" s="15" t="e">
        <f t="shared" ca="1" si="4"/>
        <v>#VALUE!</v>
      </c>
      <c r="AI16" s="15" t="e">
        <f t="shared" ca="1" si="5"/>
        <v>#VALUE!</v>
      </c>
      <c r="AL16" s="1" t="s">
        <v>44</v>
      </c>
      <c r="AM16" s="10" t="e">
        <f ca="1">+(AM6*AM8)-(AM6*AM14)</f>
        <v>#VALUE!</v>
      </c>
      <c r="AO16" s="1">
        <v>9</v>
      </c>
      <c r="AP16" s="19" t="e">
        <f t="shared" ca="1" si="19"/>
        <v>#VALUE!</v>
      </c>
      <c r="AQ16" s="14" t="e">
        <f t="shared" ca="1" si="6"/>
        <v>#VALUE!</v>
      </c>
      <c r="AR16" s="15" t="e">
        <f t="shared" ca="1" si="7"/>
        <v>#VALUE!</v>
      </c>
      <c r="AS16" s="15" t="e">
        <f t="shared" ca="1" si="8"/>
        <v>#VALUE!</v>
      </c>
      <c r="AV16" s="1" t="s">
        <v>44</v>
      </c>
      <c r="AW16" s="10" t="e">
        <f ca="1">+(AW6*AW8)-(AW6*AW14)</f>
        <v>#VALUE!</v>
      </c>
      <c r="AY16" s="1">
        <v>9</v>
      </c>
      <c r="AZ16" s="13" t="e">
        <f t="shared" ca="1" si="20"/>
        <v>#VALUE!</v>
      </c>
      <c r="BA16" s="14" t="e">
        <f t="shared" ca="1" si="9"/>
        <v>#VALUE!</v>
      </c>
      <c r="BB16" s="15" t="e">
        <f t="shared" ca="1" si="10"/>
        <v>#VALUE!</v>
      </c>
      <c r="BC16" s="15" t="e">
        <f t="shared" ca="1" si="11"/>
        <v>#VALUE!</v>
      </c>
      <c r="BF16" s="1" t="s">
        <v>44</v>
      </c>
      <c r="BG16" s="10" t="e">
        <f ca="1">+(BG6*BG8)-(BG6*BG14)</f>
        <v>#VALUE!</v>
      </c>
      <c r="BI16" s="1">
        <v>9</v>
      </c>
      <c r="BJ16" s="13" t="e">
        <f t="shared" ca="1" si="21"/>
        <v>#VALUE!</v>
      </c>
      <c r="BK16" s="14" t="e">
        <f t="shared" ca="1" si="12"/>
        <v>#VALUE!</v>
      </c>
      <c r="BL16" s="15" t="e">
        <f t="shared" ca="1" si="13"/>
        <v>#VALUE!</v>
      </c>
      <c r="BM16" s="15" t="e">
        <f t="shared" ca="1" si="14"/>
        <v>#VALUE!</v>
      </c>
      <c r="BP16" s="1" t="s">
        <v>44</v>
      </c>
      <c r="BQ16" s="10">
        <f ca="1">+(BQ6*BQ8)-(BQ6*BQ14)</f>
        <v>0</v>
      </c>
      <c r="BS16" s="1">
        <v>9</v>
      </c>
      <c r="BT16" s="13">
        <f t="shared" ca="1" si="23"/>
        <v>0</v>
      </c>
      <c r="BU16" s="14">
        <f t="shared" ca="1" si="15"/>
        <v>0</v>
      </c>
      <c r="BV16" s="15">
        <f t="shared" ca="1" si="16"/>
        <v>0</v>
      </c>
      <c r="BW16" s="15">
        <f t="shared" ca="1" si="17"/>
        <v>0</v>
      </c>
    </row>
    <row r="17" spans="1:75" ht="14.5" x14ac:dyDescent="0.35">
      <c r="A17" s="1" t="s">
        <v>45</v>
      </c>
      <c r="B17" s="79" t="str">
        <f>Foglio1!H26</f>
        <v/>
      </c>
      <c r="C17" s="80">
        <f ca="1">Foglio1!K26</f>
        <v>0</v>
      </c>
      <c r="D17" s="24" t="e">
        <f>_xlfn.DAYS($B$23,B17)</f>
        <v>#VALUE!</v>
      </c>
      <c r="E17" s="1" t="e">
        <f t="shared" si="24"/>
        <v>#VALUE!</v>
      </c>
      <c r="F17" s="1" t="e">
        <f t="shared" si="25"/>
        <v>#VALUE!</v>
      </c>
      <c r="G17" s="1" t="e">
        <f t="shared" si="26"/>
        <v>#VALUE!</v>
      </c>
      <c r="H17" s="1" t="e">
        <f t="shared" si="29"/>
        <v>#VALUE!</v>
      </c>
      <c r="I17" s="80">
        <f ca="1">Foglio1!L26</f>
        <v>0</v>
      </c>
      <c r="J17" s="75" t="str">
        <f t="shared" ca="1" si="27"/>
        <v/>
      </c>
      <c r="K17" s="43"/>
      <c r="L17" s="73" t="str">
        <f t="shared" si="28"/>
        <v/>
      </c>
      <c r="M17" s="1" t="s">
        <v>46</v>
      </c>
      <c r="N17" s="29">
        <f>(N5/24)*2</f>
        <v>0</v>
      </c>
      <c r="R17" s="1" t="s">
        <v>47</v>
      </c>
      <c r="S17" s="15">
        <f ca="1">PMT(S8,(S9*S11),-S6)</f>
        <v>0</v>
      </c>
      <c r="U17" s="1">
        <v>10</v>
      </c>
      <c r="V17" s="13">
        <f t="shared" ca="1" si="22"/>
        <v>0</v>
      </c>
      <c r="W17" s="14">
        <f t="shared" ca="1" si="0"/>
        <v>0</v>
      </c>
      <c r="X17" s="15">
        <f t="shared" ca="1" si="1"/>
        <v>0</v>
      </c>
      <c r="Y17" s="15">
        <f t="shared" ca="1" si="2"/>
        <v>0</v>
      </c>
      <c r="AB17" s="1" t="s">
        <v>47</v>
      </c>
      <c r="AC17" s="15">
        <f ca="1">PMT(AC8,(AC9*AC11),-AC6)</f>
        <v>0</v>
      </c>
      <c r="AE17" s="1">
        <v>10</v>
      </c>
      <c r="AF17" s="13" t="e">
        <f t="shared" ca="1" si="18"/>
        <v>#VALUE!</v>
      </c>
      <c r="AG17" s="14" t="e">
        <f t="shared" ca="1" si="3"/>
        <v>#VALUE!</v>
      </c>
      <c r="AH17" s="15" t="e">
        <f t="shared" ca="1" si="4"/>
        <v>#VALUE!</v>
      </c>
      <c r="AI17" s="15" t="e">
        <f t="shared" ca="1" si="5"/>
        <v>#VALUE!</v>
      </c>
      <c r="AL17" s="1" t="s">
        <v>47</v>
      </c>
      <c r="AM17" s="15">
        <f ca="1">PMT(AM8,(AM9*AM11),-AM6)</f>
        <v>0</v>
      </c>
      <c r="AO17" s="1">
        <v>10</v>
      </c>
      <c r="AP17" s="19" t="e">
        <f t="shared" ca="1" si="19"/>
        <v>#VALUE!</v>
      </c>
      <c r="AQ17" s="14" t="e">
        <f t="shared" ca="1" si="6"/>
        <v>#VALUE!</v>
      </c>
      <c r="AR17" s="15" t="e">
        <f t="shared" ca="1" si="7"/>
        <v>#VALUE!</v>
      </c>
      <c r="AS17" s="15" t="e">
        <f t="shared" ca="1" si="8"/>
        <v>#VALUE!</v>
      </c>
      <c r="AV17" s="1" t="s">
        <v>47</v>
      </c>
      <c r="AW17" s="15">
        <f ca="1">PMT(AW8,(AW9*AW11),-AW6)</f>
        <v>0</v>
      </c>
      <c r="AY17" s="1">
        <v>10</v>
      </c>
      <c r="AZ17" s="13" t="e">
        <f t="shared" ca="1" si="20"/>
        <v>#VALUE!</v>
      </c>
      <c r="BA17" s="14" t="e">
        <f t="shared" ca="1" si="9"/>
        <v>#VALUE!</v>
      </c>
      <c r="BB17" s="15" t="e">
        <f t="shared" ca="1" si="10"/>
        <v>#VALUE!</v>
      </c>
      <c r="BC17" s="15" t="e">
        <f t="shared" ca="1" si="11"/>
        <v>#VALUE!</v>
      </c>
      <c r="BF17" s="1" t="s">
        <v>47</v>
      </c>
      <c r="BG17" s="15">
        <f ca="1">PMT(BG8,(BG9*BG11),-BG6)</f>
        <v>0</v>
      </c>
      <c r="BI17" s="1">
        <v>10</v>
      </c>
      <c r="BJ17" s="13" t="e">
        <f t="shared" ca="1" si="21"/>
        <v>#VALUE!</v>
      </c>
      <c r="BK17" s="14" t="e">
        <f t="shared" ca="1" si="12"/>
        <v>#VALUE!</v>
      </c>
      <c r="BL17" s="15" t="e">
        <f t="shared" ca="1" si="13"/>
        <v>#VALUE!</v>
      </c>
      <c r="BM17" s="15" t="e">
        <f t="shared" ca="1" si="14"/>
        <v>#VALUE!</v>
      </c>
      <c r="BP17" s="1" t="s">
        <v>47</v>
      </c>
      <c r="BQ17" s="15">
        <f ca="1">PMT(BQ8,(BQ9*BQ11),-BQ6)</f>
        <v>0</v>
      </c>
      <c r="BS17" s="1">
        <v>10</v>
      </c>
      <c r="BT17" s="13">
        <f t="shared" ca="1" si="23"/>
        <v>0</v>
      </c>
      <c r="BU17" s="14">
        <f t="shared" ca="1" si="15"/>
        <v>0</v>
      </c>
      <c r="BV17" s="15">
        <f t="shared" ca="1" si="16"/>
        <v>0</v>
      </c>
      <c r="BW17" s="15">
        <f t="shared" ca="1" si="17"/>
        <v>0</v>
      </c>
    </row>
    <row r="18" spans="1:75" ht="14.5" x14ac:dyDescent="0.35">
      <c r="A18" s="1" t="s">
        <v>48</v>
      </c>
      <c r="B18" s="79"/>
      <c r="C18" s="4"/>
      <c r="D18" s="24">
        <f>_xlfn.DAYS($B$23,B18)</f>
        <v>517</v>
      </c>
      <c r="E18" s="30">
        <f t="shared" si="24"/>
        <v>183</v>
      </c>
      <c r="F18" s="1">
        <f t="shared" si="25"/>
        <v>4.9875621120889502E-3</v>
      </c>
      <c r="G18" s="1">
        <f t="shared" si="26"/>
        <v>334</v>
      </c>
      <c r="H18" s="1">
        <f t="shared" si="29"/>
        <v>0</v>
      </c>
      <c r="I18" s="80"/>
      <c r="J18" s="75">
        <f t="shared" si="27"/>
        <v>0</v>
      </c>
      <c r="K18" s="43"/>
      <c r="L18" s="73">
        <f>IFERROR(K18*(1+$B$7)^(_xlfn.DAYS($B$24,B18)/366),"")</f>
        <v>0</v>
      </c>
      <c r="M18" s="1" t="s">
        <v>24</v>
      </c>
      <c r="N18" s="31">
        <f ca="1">((1+B6)^(1/2))-1</f>
        <v>1.0940156488008945E-2</v>
      </c>
      <c r="R18" s="1" t="s">
        <v>49</v>
      </c>
      <c r="S18" s="32">
        <f ca="1">S17-(((NPV(S8,S16)))/S13)</f>
        <v>0</v>
      </c>
      <c r="T18" s="15">
        <f ca="1">(S6-(NPV(S8,S16)))/S13</f>
        <v>0</v>
      </c>
      <c r="U18" s="1">
        <v>11</v>
      </c>
      <c r="V18" s="13">
        <f t="shared" ca="1" si="22"/>
        <v>0</v>
      </c>
      <c r="W18" s="14">
        <f t="shared" ca="1" si="0"/>
        <v>0</v>
      </c>
      <c r="X18" s="15">
        <f t="shared" ca="1" si="1"/>
        <v>0</v>
      </c>
      <c r="Y18" s="15">
        <f t="shared" ca="1" si="2"/>
        <v>0</v>
      </c>
      <c r="AB18" s="1" t="s">
        <v>49</v>
      </c>
      <c r="AC18" s="15" t="e">
        <f ca="1">AC17-(((NPV(AC8,AC16)))/AC13)</f>
        <v>#VALUE!</v>
      </c>
      <c r="AD18" s="1" t="e">
        <f ca="1">(AC6-(NPV(AC8,AC16)))/AC13</f>
        <v>#VALUE!</v>
      </c>
      <c r="AE18" s="1">
        <v>11</v>
      </c>
      <c r="AF18" s="13" t="e">
        <f t="shared" ca="1" si="18"/>
        <v>#VALUE!</v>
      </c>
      <c r="AG18" s="14" t="e">
        <f t="shared" ca="1" si="3"/>
        <v>#VALUE!</v>
      </c>
      <c r="AH18" s="15" t="e">
        <f t="shared" ca="1" si="4"/>
        <v>#VALUE!</v>
      </c>
      <c r="AI18" s="15" t="e">
        <f t="shared" ca="1" si="5"/>
        <v>#VALUE!</v>
      </c>
      <c r="AL18" s="1" t="s">
        <v>49</v>
      </c>
      <c r="AM18" s="15" t="e">
        <f ca="1">AM17-(((NPV(AM8,AM16)))/AM13)</f>
        <v>#VALUE!</v>
      </c>
      <c r="AN18" s="1" t="e">
        <f ca="1">(AM6-(NPV(AM8,AM16)))/AM13</f>
        <v>#VALUE!</v>
      </c>
      <c r="AO18" s="1">
        <v>11</v>
      </c>
      <c r="AP18" s="19" t="e">
        <f t="shared" ca="1" si="19"/>
        <v>#VALUE!</v>
      </c>
      <c r="AQ18" s="14" t="e">
        <f ca="1">$AM$18</f>
        <v>#VALUE!</v>
      </c>
      <c r="AR18" s="15" t="e">
        <f t="shared" ca="1" si="7"/>
        <v>#VALUE!</v>
      </c>
      <c r="AS18" s="15" t="e">
        <f t="shared" ca="1" si="8"/>
        <v>#VALUE!</v>
      </c>
      <c r="AV18" s="1" t="s">
        <v>49</v>
      </c>
      <c r="AW18" s="15" t="e">
        <f ca="1">AW17-(((NPV(AW8,AW16)))/AW13)</f>
        <v>#VALUE!</v>
      </c>
      <c r="AX18" s="1" t="e">
        <f ca="1">(AW6-(NPV(AW8,AW16)))/AW13</f>
        <v>#VALUE!</v>
      </c>
      <c r="AY18" s="1">
        <v>11</v>
      </c>
      <c r="AZ18" s="13" t="e">
        <f t="shared" ca="1" si="20"/>
        <v>#VALUE!</v>
      </c>
      <c r="BA18" s="14" t="e">
        <f t="shared" ca="1" si="9"/>
        <v>#VALUE!</v>
      </c>
      <c r="BB18" s="15" t="e">
        <f t="shared" ca="1" si="10"/>
        <v>#VALUE!</v>
      </c>
      <c r="BC18" s="15" t="e">
        <f t="shared" ca="1" si="11"/>
        <v>#VALUE!</v>
      </c>
      <c r="BF18" s="1" t="s">
        <v>49</v>
      </c>
      <c r="BG18" s="15" t="e">
        <f ca="1">BG17-(((NPV(BG8,BG16)))/BG13)</f>
        <v>#VALUE!</v>
      </c>
      <c r="BH18" s="1" t="e">
        <f ca="1">(BG6-(NPV(BG8,BG16)))/BG13</f>
        <v>#VALUE!</v>
      </c>
      <c r="BI18" s="1">
        <v>11</v>
      </c>
      <c r="BJ18" s="13" t="e">
        <f t="shared" ca="1" si="21"/>
        <v>#VALUE!</v>
      </c>
      <c r="BK18" s="14" t="e">
        <f t="shared" ca="1" si="12"/>
        <v>#VALUE!</v>
      </c>
      <c r="BL18" s="15" t="e">
        <f t="shared" ca="1" si="13"/>
        <v>#VALUE!</v>
      </c>
      <c r="BM18" s="15" t="e">
        <f t="shared" ca="1" si="14"/>
        <v>#VALUE!</v>
      </c>
      <c r="BP18" s="1" t="s">
        <v>49</v>
      </c>
      <c r="BQ18" s="15">
        <f ca="1">BQ17-(((NPV(BQ8,BQ16)))/BQ13)</f>
        <v>0</v>
      </c>
      <c r="BR18" s="1">
        <f ca="1">(BQ6-(NPV(BQ8,BQ16)))/BQ13</f>
        <v>0</v>
      </c>
      <c r="BS18" s="1">
        <v>11</v>
      </c>
      <c r="BT18" s="13">
        <f t="shared" ca="1" si="23"/>
        <v>0</v>
      </c>
      <c r="BU18" s="14">
        <f t="shared" ca="1" si="15"/>
        <v>0</v>
      </c>
      <c r="BV18" s="15">
        <f t="shared" ca="1" si="16"/>
        <v>0</v>
      </c>
      <c r="BW18" s="15">
        <f t="shared" ca="1" si="17"/>
        <v>0</v>
      </c>
    </row>
    <row r="19" spans="1:75" ht="14.5" x14ac:dyDescent="0.35">
      <c r="C19" s="1" t="e">
        <f ca="1">C13/I13</f>
        <v>#DIV/0!</v>
      </c>
      <c r="M19" s="1" t="s">
        <v>22</v>
      </c>
      <c r="N19" s="31">
        <f>((1+B7)^(1/2))-1</f>
        <v>4.9875621120889502E-3</v>
      </c>
      <c r="S19" s="15"/>
      <c r="U19" s="1">
        <v>12</v>
      </c>
      <c r="V19" s="13">
        <f t="shared" ca="1" si="22"/>
        <v>0</v>
      </c>
      <c r="W19" s="14">
        <f t="shared" ca="1" si="0"/>
        <v>0</v>
      </c>
      <c r="X19" s="15">
        <f t="shared" ca="1" si="1"/>
        <v>0</v>
      </c>
      <c r="Y19" s="15">
        <f t="shared" ca="1" si="2"/>
        <v>0</v>
      </c>
      <c r="AC19" s="15"/>
      <c r="AE19" s="1">
        <v>12</v>
      </c>
      <c r="AF19" s="13" t="e">
        <f t="shared" ca="1" si="18"/>
        <v>#VALUE!</v>
      </c>
      <c r="AG19" s="14" t="e">
        <f ca="1">$AC$18</f>
        <v>#VALUE!</v>
      </c>
      <c r="AH19" s="15" t="e">
        <f t="shared" ca="1" si="4"/>
        <v>#VALUE!</v>
      </c>
      <c r="AI19" s="15" t="e">
        <f t="shared" ca="1" si="5"/>
        <v>#VALUE!</v>
      </c>
      <c r="AM19" s="15"/>
      <c r="AO19" s="1">
        <v>12</v>
      </c>
      <c r="AP19" s="19" t="e">
        <f t="shared" ca="1" si="19"/>
        <v>#VALUE!</v>
      </c>
      <c r="AQ19" s="14" t="e">
        <f t="shared" ca="1" si="6"/>
        <v>#VALUE!</v>
      </c>
      <c r="AR19" s="15" t="e">
        <f t="shared" ca="1" si="7"/>
        <v>#VALUE!</v>
      </c>
      <c r="AS19" s="15" t="e">
        <f t="shared" ca="1" si="8"/>
        <v>#VALUE!</v>
      </c>
      <c r="AW19" s="15"/>
      <c r="AY19" s="1">
        <v>12</v>
      </c>
      <c r="AZ19" s="13" t="e">
        <f t="shared" ca="1" si="20"/>
        <v>#VALUE!</v>
      </c>
      <c r="BA19" s="14" t="e">
        <f t="shared" ca="1" si="9"/>
        <v>#VALUE!</v>
      </c>
      <c r="BB19" s="15" t="e">
        <f t="shared" ca="1" si="10"/>
        <v>#VALUE!</v>
      </c>
      <c r="BC19" s="15" t="e">
        <f t="shared" ca="1" si="11"/>
        <v>#VALUE!</v>
      </c>
      <c r="BG19" s="15"/>
      <c r="BI19" s="1">
        <v>12</v>
      </c>
      <c r="BJ19" s="13" t="e">
        <f t="shared" ca="1" si="21"/>
        <v>#VALUE!</v>
      </c>
      <c r="BK19" s="14" t="e">
        <f t="shared" ca="1" si="12"/>
        <v>#VALUE!</v>
      </c>
      <c r="BL19" s="15" t="e">
        <f t="shared" ca="1" si="13"/>
        <v>#VALUE!</v>
      </c>
      <c r="BM19" s="15" t="e">
        <f t="shared" ca="1" si="14"/>
        <v>#VALUE!</v>
      </c>
      <c r="BQ19" s="15"/>
      <c r="BS19" s="1">
        <v>12</v>
      </c>
      <c r="BT19" s="13">
        <f t="shared" ca="1" si="23"/>
        <v>0</v>
      </c>
      <c r="BU19" s="14">
        <f t="shared" ca="1" si="15"/>
        <v>0</v>
      </c>
      <c r="BV19" s="15">
        <f t="shared" ca="1" si="16"/>
        <v>0</v>
      </c>
      <c r="BW19" s="15">
        <f t="shared" ca="1" si="17"/>
        <v>0</v>
      </c>
    </row>
    <row r="20" spans="1:75" ht="14.5" x14ac:dyDescent="0.35">
      <c r="A20" s="1" t="s">
        <v>50</v>
      </c>
      <c r="B20" s="33">
        <v>1</v>
      </c>
      <c r="M20" s="1" t="s">
        <v>25</v>
      </c>
      <c r="N20" s="1">
        <v>10</v>
      </c>
      <c r="R20" s="1" t="s">
        <v>51</v>
      </c>
      <c r="S20" s="1">
        <f>G13/183</f>
        <v>1.825136612021858</v>
      </c>
      <c r="T20" s="34"/>
      <c r="U20" s="1">
        <v>13</v>
      </c>
      <c r="V20" s="13">
        <f t="shared" ca="1" si="22"/>
        <v>0</v>
      </c>
      <c r="W20" s="14">
        <f t="shared" ca="1" si="0"/>
        <v>0</v>
      </c>
      <c r="X20" s="15">
        <f t="shared" ca="1" si="1"/>
        <v>0</v>
      </c>
      <c r="Y20" s="15">
        <f t="shared" ca="1" si="2"/>
        <v>0</v>
      </c>
      <c r="AB20" s="1" t="s">
        <v>51</v>
      </c>
      <c r="AC20" s="1" t="e">
        <f>G14/183</f>
        <v>#VALUE!</v>
      </c>
      <c r="AD20" s="34"/>
      <c r="AE20" s="1">
        <v>13</v>
      </c>
      <c r="AF20" s="13" t="e">
        <f t="shared" ca="1" si="18"/>
        <v>#VALUE!</v>
      </c>
      <c r="AG20" s="14" t="e">
        <f t="shared" ca="1" si="3"/>
        <v>#VALUE!</v>
      </c>
      <c r="AH20" s="15" t="e">
        <f t="shared" ca="1" si="4"/>
        <v>#VALUE!</v>
      </c>
      <c r="AI20" s="15" t="e">
        <f t="shared" ca="1" si="5"/>
        <v>#VALUE!</v>
      </c>
      <c r="AL20" s="1" t="s">
        <v>51</v>
      </c>
      <c r="AM20" s="1" t="e">
        <f>G15/183</f>
        <v>#VALUE!</v>
      </c>
      <c r="AN20" s="34"/>
      <c r="AO20" s="1">
        <v>13</v>
      </c>
      <c r="AP20" s="19" t="e">
        <f t="shared" ca="1" si="19"/>
        <v>#VALUE!</v>
      </c>
      <c r="AQ20" s="14" t="e">
        <f t="shared" ca="1" si="6"/>
        <v>#VALUE!</v>
      </c>
      <c r="AR20" s="15" t="e">
        <f t="shared" ca="1" si="7"/>
        <v>#VALUE!</v>
      </c>
      <c r="AS20" s="15" t="e">
        <f t="shared" ca="1" si="8"/>
        <v>#VALUE!</v>
      </c>
      <c r="AV20" s="1" t="s">
        <v>51</v>
      </c>
      <c r="AW20" s="1" t="e">
        <f>G16/183</f>
        <v>#VALUE!</v>
      </c>
      <c r="AX20" s="34"/>
      <c r="AY20" s="1">
        <v>13</v>
      </c>
      <c r="AZ20" s="13" t="e">
        <f t="shared" ca="1" si="20"/>
        <v>#VALUE!</v>
      </c>
      <c r="BA20" s="14" t="e">
        <f ca="1">$AW$18</f>
        <v>#VALUE!</v>
      </c>
      <c r="BB20" s="15" t="e">
        <f t="shared" ca="1" si="10"/>
        <v>#VALUE!</v>
      </c>
      <c r="BC20" s="15" t="e">
        <f t="shared" ca="1" si="11"/>
        <v>#VALUE!</v>
      </c>
      <c r="BF20" s="1" t="s">
        <v>51</v>
      </c>
      <c r="BG20" s="1" t="e">
        <f>G17/183</f>
        <v>#VALUE!</v>
      </c>
      <c r="BH20" s="34"/>
      <c r="BI20" s="1">
        <v>13</v>
      </c>
      <c r="BJ20" s="13" t="e">
        <f t="shared" ca="1" si="21"/>
        <v>#VALUE!</v>
      </c>
      <c r="BK20" s="14" t="e">
        <f ca="1">$BG$18</f>
        <v>#VALUE!</v>
      </c>
      <c r="BL20" s="15" t="e">
        <f t="shared" ca="1" si="13"/>
        <v>#VALUE!</v>
      </c>
      <c r="BM20" s="15" t="e">
        <f t="shared" ca="1" si="14"/>
        <v>#VALUE!</v>
      </c>
      <c r="BP20" s="1" t="s">
        <v>51</v>
      </c>
      <c r="BQ20" s="1">
        <f>G18/183</f>
        <v>1.825136612021858</v>
      </c>
      <c r="BR20" s="34"/>
      <c r="BS20" s="1">
        <v>13</v>
      </c>
      <c r="BT20" s="13">
        <f t="shared" ca="1" si="23"/>
        <v>0</v>
      </c>
      <c r="BU20" s="14">
        <f t="shared" ca="1" si="15"/>
        <v>0</v>
      </c>
      <c r="BV20" s="15">
        <f t="shared" ca="1" si="16"/>
        <v>0</v>
      </c>
      <c r="BW20" s="15">
        <f t="shared" ca="1" si="17"/>
        <v>0</v>
      </c>
    </row>
    <row r="21" spans="1:75" ht="14.5" x14ac:dyDescent="0.35">
      <c r="M21" s="20" t="s">
        <v>27</v>
      </c>
      <c r="N21" s="35">
        <f>$N$20+$N$17</f>
        <v>10</v>
      </c>
      <c r="U21" s="1">
        <v>14</v>
      </c>
      <c r="V21" s="13">
        <f t="shared" ca="1" si="22"/>
        <v>0</v>
      </c>
      <c r="W21" s="14">
        <f ca="1">$S$18</f>
        <v>0</v>
      </c>
      <c r="X21" s="15">
        <f t="shared" ca="1" si="1"/>
        <v>0</v>
      </c>
      <c r="Y21" s="15">
        <f t="shared" ca="1" si="2"/>
        <v>0</v>
      </c>
      <c r="AE21" s="1">
        <v>14</v>
      </c>
      <c r="AF21" s="13" t="e">
        <f t="shared" ca="1" si="18"/>
        <v>#VALUE!</v>
      </c>
      <c r="AG21" s="14" t="e">
        <f t="shared" ca="1" si="3"/>
        <v>#VALUE!</v>
      </c>
      <c r="AH21" s="15" t="e">
        <f t="shared" ca="1" si="4"/>
        <v>#VALUE!</v>
      </c>
      <c r="AI21" s="15" t="e">
        <f t="shared" ca="1" si="5"/>
        <v>#VALUE!</v>
      </c>
      <c r="AO21" s="1">
        <v>14</v>
      </c>
      <c r="AP21" s="19" t="e">
        <f t="shared" ca="1" si="19"/>
        <v>#VALUE!</v>
      </c>
      <c r="AQ21" s="14" t="e">
        <f t="shared" ca="1" si="6"/>
        <v>#VALUE!</v>
      </c>
      <c r="AR21" s="15" t="e">
        <f t="shared" ca="1" si="7"/>
        <v>#VALUE!</v>
      </c>
      <c r="AS21" s="15" t="e">
        <f t="shared" ca="1" si="8"/>
        <v>#VALUE!</v>
      </c>
      <c r="AY21" s="1">
        <v>14</v>
      </c>
      <c r="AZ21" s="13" t="e">
        <f t="shared" ca="1" si="20"/>
        <v>#VALUE!</v>
      </c>
      <c r="BA21" s="14" t="e">
        <f t="shared" ca="1" si="9"/>
        <v>#VALUE!</v>
      </c>
      <c r="BB21" s="15" t="e">
        <f t="shared" ca="1" si="10"/>
        <v>#VALUE!</v>
      </c>
      <c r="BC21" s="15" t="e">
        <f t="shared" ca="1" si="11"/>
        <v>#VALUE!</v>
      </c>
      <c r="BI21" s="1">
        <v>14</v>
      </c>
      <c r="BJ21" s="13" t="e">
        <f t="shared" ca="1" si="21"/>
        <v>#VALUE!</v>
      </c>
      <c r="BK21" s="14" t="e">
        <f t="shared" ca="1" si="12"/>
        <v>#VALUE!</v>
      </c>
      <c r="BL21" s="15" t="e">
        <f t="shared" ca="1" si="13"/>
        <v>#VALUE!</v>
      </c>
      <c r="BM21" s="15" t="e">
        <f t="shared" ca="1" si="14"/>
        <v>#VALUE!</v>
      </c>
      <c r="BS21" s="1">
        <v>14</v>
      </c>
      <c r="BT21" s="13">
        <f t="shared" ca="1" si="23"/>
        <v>0</v>
      </c>
      <c r="BU21" s="14">
        <f t="shared" ca="1" si="15"/>
        <v>0</v>
      </c>
      <c r="BV21" s="15">
        <f t="shared" ca="1" si="16"/>
        <v>0</v>
      </c>
      <c r="BW21" s="15">
        <f t="shared" ca="1" si="17"/>
        <v>0</v>
      </c>
    </row>
    <row r="22" spans="1:75" ht="14.5" x14ac:dyDescent="0.35">
      <c r="M22" s="20" t="s">
        <v>29</v>
      </c>
      <c r="N22" s="36">
        <v>2</v>
      </c>
      <c r="R22" s="1" t="s">
        <v>52</v>
      </c>
      <c r="S22" s="27">
        <f>((1+S7)^S20)-1</f>
        <v>9.1217080760213065E-3</v>
      </c>
      <c r="U22" s="1">
        <v>15</v>
      </c>
      <c r="V22" s="13">
        <f t="shared" ca="1" si="22"/>
        <v>0</v>
      </c>
      <c r="W22" s="14">
        <f t="shared" ca="1" si="0"/>
        <v>0</v>
      </c>
      <c r="X22" s="15">
        <f t="shared" ca="1" si="1"/>
        <v>0</v>
      </c>
      <c r="Y22" s="15">
        <f t="shared" ca="1" si="2"/>
        <v>0</v>
      </c>
      <c r="AB22" s="1" t="s">
        <v>52</v>
      </c>
      <c r="AC22" s="27" t="e">
        <f>((1+AC7)^AC20)-1</f>
        <v>#VALUE!</v>
      </c>
      <c r="AE22" s="1">
        <v>15</v>
      </c>
      <c r="AF22" s="13" t="e">
        <f t="shared" ca="1" si="18"/>
        <v>#VALUE!</v>
      </c>
      <c r="AG22" s="14" t="e">
        <f t="shared" ca="1" si="3"/>
        <v>#VALUE!</v>
      </c>
      <c r="AH22" s="15" t="e">
        <f t="shared" ca="1" si="4"/>
        <v>#VALUE!</v>
      </c>
      <c r="AI22" s="15" t="e">
        <f t="shared" ca="1" si="5"/>
        <v>#VALUE!</v>
      </c>
      <c r="AL22" s="1" t="s">
        <v>52</v>
      </c>
      <c r="AM22" s="27" t="e">
        <f>((1+AM7)^AM20)-1</f>
        <v>#VALUE!</v>
      </c>
      <c r="AO22" s="1">
        <v>15</v>
      </c>
      <c r="AP22" s="19" t="e">
        <f t="shared" ca="1" si="19"/>
        <v>#VALUE!</v>
      </c>
      <c r="AQ22" s="14" t="e">
        <f t="shared" ca="1" si="6"/>
        <v>#VALUE!</v>
      </c>
      <c r="AR22" s="15" t="e">
        <f t="shared" ca="1" si="7"/>
        <v>#VALUE!</v>
      </c>
      <c r="AS22" s="15" t="e">
        <f t="shared" ca="1" si="8"/>
        <v>#VALUE!</v>
      </c>
      <c r="AV22" s="1" t="s">
        <v>52</v>
      </c>
      <c r="AW22" s="27" t="e">
        <f>((1+AW7)^AW20)-1</f>
        <v>#VALUE!</v>
      </c>
      <c r="AY22" s="1">
        <v>15</v>
      </c>
      <c r="AZ22" s="13" t="e">
        <f t="shared" ca="1" si="20"/>
        <v>#VALUE!</v>
      </c>
      <c r="BA22" s="14" t="e">
        <f t="shared" ca="1" si="9"/>
        <v>#VALUE!</v>
      </c>
      <c r="BB22" s="15" t="e">
        <f t="shared" ca="1" si="10"/>
        <v>#VALUE!</v>
      </c>
      <c r="BC22" s="15" t="e">
        <f t="shared" ca="1" si="11"/>
        <v>#VALUE!</v>
      </c>
      <c r="BF22" s="1" t="s">
        <v>52</v>
      </c>
      <c r="BG22" s="27" t="e">
        <f>((1+BG7)^BG20)-1</f>
        <v>#VALUE!</v>
      </c>
      <c r="BI22" s="1">
        <v>15</v>
      </c>
      <c r="BJ22" s="13" t="e">
        <f t="shared" ca="1" si="21"/>
        <v>#VALUE!</v>
      </c>
      <c r="BK22" s="14" t="e">
        <f t="shared" ca="1" si="12"/>
        <v>#VALUE!</v>
      </c>
      <c r="BL22" s="15" t="e">
        <f t="shared" ca="1" si="13"/>
        <v>#VALUE!</v>
      </c>
      <c r="BM22" s="15" t="e">
        <f t="shared" ca="1" si="14"/>
        <v>#VALUE!</v>
      </c>
      <c r="BP22" s="1" t="s">
        <v>52</v>
      </c>
      <c r="BQ22" s="27">
        <f>((1+BQ7)^BQ20)-1</f>
        <v>9.1217080760213065E-3</v>
      </c>
      <c r="BS22" s="1">
        <v>15</v>
      </c>
      <c r="BT22" s="13">
        <f t="shared" ca="1" si="23"/>
        <v>0</v>
      </c>
      <c r="BU22" s="14">
        <f t="shared" ca="1" si="15"/>
        <v>0</v>
      </c>
      <c r="BV22" s="15">
        <f t="shared" ca="1" si="16"/>
        <v>0</v>
      </c>
      <c r="BW22" s="15">
        <f t="shared" ca="1" si="17"/>
        <v>0</v>
      </c>
    </row>
    <row r="23" spans="1:75" ht="14.5" x14ac:dyDescent="0.35">
      <c r="A23" s="1" t="s">
        <v>53</v>
      </c>
      <c r="B23" s="37">
        <f>+I39</f>
        <v>517</v>
      </c>
      <c r="C23" s="38">
        <v>43616</v>
      </c>
      <c r="D23" s="1">
        <f>+_xlfn.DAYS(C24,C23)</f>
        <v>183</v>
      </c>
      <c r="E23" s="38"/>
      <c r="F23" s="38"/>
      <c r="M23" s="20"/>
      <c r="N23" s="36"/>
      <c r="U23" s="1">
        <v>16</v>
      </c>
      <c r="V23" s="13">
        <f t="shared" ca="1" si="22"/>
        <v>0</v>
      </c>
      <c r="W23" s="14">
        <f t="shared" ca="1" si="0"/>
        <v>0</v>
      </c>
      <c r="X23" s="15">
        <f t="shared" ca="1" si="1"/>
        <v>0</v>
      </c>
      <c r="Y23" s="15">
        <f t="shared" ca="1" si="2"/>
        <v>0</v>
      </c>
      <c r="AE23" s="1">
        <v>16</v>
      </c>
      <c r="AF23" s="13" t="e">
        <f t="shared" ca="1" si="18"/>
        <v>#VALUE!</v>
      </c>
      <c r="AG23" s="14" t="e">
        <f t="shared" ca="1" si="3"/>
        <v>#VALUE!</v>
      </c>
      <c r="AH23" s="39" t="e">
        <f ca="1">AH22-AI23</f>
        <v>#VALUE!</v>
      </c>
      <c r="AI23" s="15" t="e">
        <f t="shared" ca="1" si="5"/>
        <v>#VALUE!</v>
      </c>
      <c r="AO23" s="1">
        <v>16</v>
      </c>
      <c r="AP23" s="19" t="e">
        <f t="shared" ca="1" si="19"/>
        <v>#VALUE!</v>
      </c>
      <c r="AQ23" s="14" t="e">
        <f t="shared" ca="1" si="6"/>
        <v>#VALUE!</v>
      </c>
      <c r="AR23" s="39" t="e">
        <f ca="1">AR22-AS23</f>
        <v>#VALUE!</v>
      </c>
      <c r="AS23" s="15" t="e">
        <f t="shared" ca="1" si="8"/>
        <v>#VALUE!</v>
      </c>
      <c r="AY23" s="1">
        <v>16</v>
      </c>
      <c r="AZ23" s="13" t="e">
        <f t="shared" ca="1" si="20"/>
        <v>#VALUE!</v>
      </c>
      <c r="BA23" s="14" t="e">
        <f t="shared" ca="1" si="9"/>
        <v>#VALUE!</v>
      </c>
      <c r="BB23" s="39" t="e">
        <f ca="1">BB22-BC23</f>
        <v>#VALUE!</v>
      </c>
      <c r="BC23" s="15" t="e">
        <f t="shared" ca="1" si="11"/>
        <v>#VALUE!</v>
      </c>
      <c r="BI23" s="1">
        <v>16</v>
      </c>
      <c r="BJ23" s="13" t="e">
        <f t="shared" ca="1" si="21"/>
        <v>#VALUE!</v>
      </c>
      <c r="BK23" s="14" t="e">
        <f t="shared" ca="1" si="12"/>
        <v>#VALUE!</v>
      </c>
      <c r="BL23" s="39" t="e">
        <f ca="1">BL22-BM23</f>
        <v>#VALUE!</v>
      </c>
      <c r="BM23" s="15" t="e">
        <f t="shared" ca="1" si="14"/>
        <v>#VALUE!</v>
      </c>
      <c r="BS23" s="1">
        <v>16</v>
      </c>
      <c r="BT23" s="13">
        <f t="shared" ca="1" si="23"/>
        <v>0</v>
      </c>
      <c r="BU23" s="14">
        <f t="shared" ca="1" si="15"/>
        <v>0</v>
      </c>
      <c r="BV23" s="39">
        <f ca="1">BV22-BW23</f>
        <v>0</v>
      </c>
      <c r="BW23" s="15">
        <f t="shared" ca="1" si="17"/>
        <v>0</v>
      </c>
    </row>
    <row r="24" spans="1:75" ht="14.5" x14ac:dyDescent="0.35">
      <c r="A24" s="1" t="s">
        <v>54</v>
      </c>
      <c r="B24" s="40">
        <f>B40</f>
        <v>0</v>
      </c>
      <c r="C24" s="38">
        <v>43799</v>
      </c>
      <c r="D24" s="1">
        <f>+_xlfn.DAYS(C23,C24)</f>
        <v>-183</v>
      </c>
      <c r="E24" s="38"/>
      <c r="F24" s="38"/>
      <c r="M24" s="41" t="s">
        <v>55</v>
      </c>
      <c r="N24" s="42">
        <f>$G$40</f>
        <v>1900</v>
      </c>
      <c r="R24" s="1" t="s">
        <v>56</v>
      </c>
      <c r="S24" s="1">
        <f ca="1">S8*S6</f>
        <v>0</v>
      </c>
      <c r="U24" s="43">
        <v>17</v>
      </c>
      <c r="V24" s="44">
        <f t="shared" ca="1" si="22"/>
        <v>0</v>
      </c>
      <c r="W24" s="45">
        <f t="shared" ca="1" si="0"/>
        <v>0</v>
      </c>
      <c r="X24" s="46">
        <f t="shared" ca="1" si="1"/>
        <v>0</v>
      </c>
      <c r="Y24" s="46">
        <f t="shared" ca="1" si="2"/>
        <v>0</v>
      </c>
      <c r="AB24" s="1" t="s">
        <v>56</v>
      </c>
      <c r="AC24" s="74">
        <f ca="1">AC8*AC6</f>
        <v>0</v>
      </c>
      <c r="AE24" s="43">
        <v>17</v>
      </c>
      <c r="AF24" s="44" t="e">
        <f ca="1">AH23*(($AC$8))</f>
        <v>#VALUE!</v>
      </c>
      <c r="AG24" s="45" t="e">
        <f t="shared" ca="1" si="3"/>
        <v>#VALUE!</v>
      </c>
      <c r="AH24" s="46" t="e">
        <f t="shared" ca="1" si="4"/>
        <v>#VALUE!</v>
      </c>
      <c r="AI24" s="46" t="e">
        <f t="shared" ca="1" si="5"/>
        <v>#VALUE!</v>
      </c>
      <c r="AL24" s="1" t="s">
        <v>56</v>
      </c>
      <c r="AM24" s="1">
        <f ca="1">AM8*AM6</f>
        <v>0</v>
      </c>
      <c r="AO24" s="43">
        <v>17</v>
      </c>
      <c r="AP24" s="19" t="e">
        <f t="shared" ca="1" si="19"/>
        <v>#VALUE!</v>
      </c>
      <c r="AQ24" s="14" t="e">
        <f t="shared" ca="1" si="6"/>
        <v>#VALUE!</v>
      </c>
      <c r="AR24" s="46" t="e">
        <f ca="1">AR23-AS24</f>
        <v>#VALUE!</v>
      </c>
      <c r="AS24" s="46" t="e">
        <f t="shared" ca="1" si="8"/>
        <v>#VALUE!</v>
      </c>
      <c r="AV24" s="1" t="s">
        <v>56</v>
      </c>
      <c r="AW24" s="1">
        <f ca="1">AW8*AW6</f>
        <v>0</v>
      </c>
      <c r="AY24" s="43">
        <v>17</v>
      </c>
      <c r="AZ24" s="13" t="e">
        <f t="shared" ca="1" si="20"/>
        <v>#VALUE!</v>
      </c>
      <c r="BA24" s="14" t="e">
        <f t="shared" ca="1" si="9"/>
        <v>#VALUE!</v>
      </c>
      <c r="BB24" s="46" t="e">
        <f ca="1">BB23-BC24</f>
        <v>#VALUE!</v>
      </c>
      <c r="BC24" s="46" t="e">
        <f t="shared" ca="1" si="11"/>
        <v>#VALUE!</v>
      </c>
      <c r="BF24" s="1" t="s">
        <v>56</v>
      </c>
      <c r="BG24" s="1">
        <f ca="1">BG8*BG6</f>
        <v>0</v>
      </c>
      <c r="BI24" s="43">
        <v>17</v>
      </c>
      <c r="BJ24" s="13" t="e">
        <f t="shared" ca="1" si="21"/>
        <v>#VALUE!</v>
      </c>
      <c r="BK24" s="14" t="e">
        <f t="shared" ca="1" si="12"/>
        <v>#VALUE!</v>
      </c>
      <c r="BL24" s="46" t="e">
        <f ca="1">BL23-BM24</f>
        <v>#VALUE!</v>
      </c>
      <c r="BM24" s="46" t="e">
        <f t="shared" ca="1" si="14"/>
        <v>#VALUE!</v>
      </c>
      <c r="BP24" s="1" t="s">
        <v>56</v>
      </c>
      <c r="BQ24" s="1">
        <f ca="1">BQ8*BQ6</f>
        <v>0</v>
      </c>
      <c r="BS24" s="43">
        <v>17</v>
      </c>
      <c r="BT24" s="13">
        <f t="shared" ca="1" si="23"/>
        <v>0</v>
      </c>
      <c r="BU24" s="14">
        <f t="shared" ca="1" si="15"/>
        <v>0</v>
      </c>
      <c r="BV24" s="46">
        <f ca="1">BV23-BW24</f>
        <v>0</v>
      </c>
      <c r="BW24" s="46">
        <f t="shared" ca="1" si="17"/>
        <v>0</v>
      </c>
    </row>
    <row r="25" spans="1:75" ht="14.5" x14ac:dyDescent="0.35">
      <c r="M25" s="20" t="s">
        <v>57</v>
      </c>
      <c r="N25" s="35">
        <f>IF($N$17*$N$22-0*$N$17&gt;0,$N$17*$N$22-0*$N$17,0)</f>
        <v>0</v>
      </c>
      <c r="R25" s="1" t="s">
        <v>58</v>
      </c>
      <c r="S25" s="1">
        <f>S20</f>
        <v>1.825136612021858</v>
      </c>
      <c r="U25" s="43">
        <v>18</v>
      </c>
      <c r="V25" s="44">
        <f t="shared" ca="1" si="22"/>
        <v>0</v>
      </c>
      <c r="W25" s="45">
        <f t="shared" ca="1" si="0"/>
        <v>0</v>
      </c>
      <c r="X25" s="46">
        <f t="shared" ca="1" si="1"/>
        <v>0</v>
      </c>
      <c r="Y25" s="46">
        <f t="shared" ca="1" si="2"/>
        <v>0</v>
      </c>
      <c r="AB25" s="1" t="s">
        <v>58</v>
      </c>
      <c r="AC25" s="1" t="e">
        <f>AC20</f>
        <v>#VALUE!</v>
      </c>
      <c r="AE25" s="43">
        <v>18</v>
      </c>
      <c r="AF25" s="44" t="e">
        <f t="shared" ca="1" si="18"/>
        <v>#VALUE!</v>
      </c>
      <c r="AG25" s="45" t="e">
        <f t="shared" ca="1" si="3"/>
        <v>#VALUE!</v>
      </c>
      <c r="AH25" s="46" t="e">
        <f t="shared" ca="1" si="4"/>
        <v>#VALUE!</v>
      </c>
      <c r="AI25" s="46" t="e">
        <f t="shared" ca="1" si="5"/>
        <v>#VALUE!</v>
      </c>
      <c r="AL25" s="1" t="s">
        <v>58</v>
      </c>
      <c r="AM25" s="1" t="e">
        <f>AM20</f>
        <v>#VALUE!</v>
      </c>
      <c r="AO25" s="43">
        <v>18</v>
      </c>
      <c r="AP25" s="19" t="e">
        <f t="shared" ca="1" si="19"/>
        <v>#VALUE!</v>
      </c>
      <c r="AQ25" s="14" t="e">
        <f t="shared" ca="1" si="6"/>
        <v>#VALUE!</v>
      </c>
      <c r="AR25" s="46" t="e">
        <f ca="1">AR24-AS25</f>
        <v>#VALUE!</v>
      </c>
      <c r="AS25" s="46" t="e">
        <f t="shared" ca="1" si="8"/>
        <v>#VALUE!</v>
      </c>
      <c r="AV25" s="1" t="s">
        <v>58</v>
      </c>
      <c r="AW25" s="1" t="e">
        <f>AW20</f>
        <v>#VALUE!</v>
      </c>
      <c r="AY25" s="43">
        <v>18</v>
      </c>
      <c r="AZ25" s="13" t="e">
        <f t="shared" ca="1" si="20"/>
        <v>#VALUE!</v>
      </c>
      <c r="BA25" s="14" t="e">
        <f t="shared" ca="1" si="9"/>
        <v>#VALUE!</v>
      </c>
      <c r="BB25" s="46" t="e">
        <f ca="1">BB24-BC25</f>
        <v>#VALUE!</v>
      </c>
      <c r="BC25" s="46" t="e">
        <f t="shared" ca="1" si="11"/>
        <v>#VALUE!</v>
      </c>
      <c r="BF25" s="1" t="s">
        <v>58</v>
      </c>
      <c r="BG25" s="1" t="e">
        <f>BG20</f>
        <v>#VALUE!</v>
      </c>
      <c r="BI25" s="43">
        <v>18</v>
      </c>
      <c r="BJ25" s="13" t="e">
        <f t="shared" ca="1" si="21"/>
        <v>#VALUE!</v>
      </c>
      <c r="BK25" s="14" t="e">
        <f t="shared" ca="1" si="12"/>
        <v>#VALUE!</v>
      </c>
      <c r="BL25" s="46" t="e">
        <f ca="1">BL24-BM25</f>
        <v>#VALUE!</v>
      </c>
      <c r="BM25" s="46" t="e">
        <f t="shared" ca="1" si="14"/>
        <v>#VALUE!</v>
      </c>
      <c r="BP25" s="1" t="s">
        <v>58</v>
      </c>
      <c r="BQ25" s="1">
        <f>BQ20</f>
        <v>1.825136612021858</v>
      </c>
      <c r="BS25" s="43">
        <v>18</v>
      </c>
      <c r="BT25" s="13">
        <f t="shared" ca="1" si="23"/>
        <v>0</v>
      </c>
      <c r="BU25" s="14">
        <f t="shared" ca="1" si="15"/>
        <v>0</v>
      </c>
      <c r="BV25" s="46">
        <f ca="1">BV24-BW25</f>
        <v>0</v>
      </c>
      <c r="BW25" s="46">
        <f t="shared" ca="1" si="17"/>
        <v>0</v>
      </c>
    </row>
    <row r="26" spans="1:75" ht="14.5" x14ac:dyDescent="0.35">
      <c r="B26" s="1" t="s">
        <v>59</v>
      </c>
      <c r="D26" s="1">
        <f>D23-D24</f>
        <v>366</v>
      </c>
      <c r="M26" s="20" t="s">
        <v>60</v>
      </c>
      <c r="N26" s="47">
        <f>($N$9-$N$9)*$N$22</f>
        <v>0</v>
      </c>
      <c r="U26" s="43">
        <v>19</v>
      </c>
      <c r="V26" s="44">
        <f t="shared" ca="1" si="22"/>
        <v>0</v>
      </c>
      <c r="W26" s="45">
        <f t="shared" ca="1" si="0"/>
        <v>0</v>
      </c>
      <c r="X26" s="46">
        <f t="shared" ca="1" si="1"/>
        <v>0</v>
      </c>
      <c r="Y26" s="46">
        <f t="shared" ca="1" si="2"/>
        <v>0</v>
      </c>
      <c r="AE26" s="43">
        <v>19</v>
      </c>
      <c r="AF26" s="44" t="e">
        <f t="shared" ca="1" si="18"/>
        <v>#VALUE!</v>
      </c>
      <c r="AG26" s="45" t="e">
        <f t="shared" ca="1" si="3"/>
        <v>#VALUE!</v>
      </c>
      <c r="AH26" s="46" t="e">
        <f t="shared" ca="1" si="4"/>
        <v>#VALUE!</v>
      </c>
      <c r="AI26" s="46" t="e">
        <f t="shared" ca="1" si="5"/>
        <v>#VALUE!</v>
      </c>
      <c r="AO26" s="43">
        <v>19</v>
      </c>
      <c r="AP26" s="19" t="e">
        <f t="shared" ca="1" si="19"/>
        <v>#VALUE!</v>
      </c>
      <c r="AQ26" s="14" t="e">
        <f t="shared" ca="1" si="6"/>
        <v>#VALUE!</v>
      </c>
      <c r="AR26" s="46" t="e">
        <f ca="1">AR25-AS26</f>
        <v>#VALUE!</v>
      </c>
      <c r="AS26" s="46" t="e">
        <f t="shared" ca="1" si="8"/>
        <v>#VALUE!</v>
      </c>
      <c r="AY26" s="43">
        <v>19</v>
      </c>
      <c r="AZ26" s="13" t="e">
        <f ca="1">BB25*(($AW$8))</f>
        <v>#VALUE!</v>
      </c>
      <c r="BA26" s="14" t="e">
        <f t="shared" ca="1" si="9"/>
        <v>#VALUE!</v>
      </c>
      <c r="BB26" s="46" t="e">
        <f ca="1">BB25-BC26</f>
        <v>#VALUE!</v>
      </c>
      <c r="BC26" s="46" t="e">
        <f t="shared" ca="1" si="11"/>
        <v>#VALUE!</v>
      </c>
      <c r="BI26" s="43">
        <v>19</v>
      </c>
      <c r="BJ26" s="13" t="e">
        <f t="shared" ca="1" si="21"/>
        <v>#VALUE!</v>
      </c>
      <c r="BK26" s="14" t="e">
        <f t="shared" ca="1" si="12"/>
        <v>#VALUE!</v>
      </c>
      <c r="BL26" s="46" t="e">
        <f ca="1">BL25-BM26</f>
        <v>#VALUE!</v>
      </c>
      <c r="BM26" s="46" t="e">
        <f t="shared" ca="1" si="14"/>
        <v>#VALUE!</v>
      </c>
      <c r="BS26" s="43">
        <v>19</v>
      </c>
      <c r="BT26" s="13">
        <f t="shared" ca="1" si="23"/>
        <v>0</v>
      </c>
      <c r="BU26" s="14">
        <f t="shared" ca="1" si="15"/>
        <v>0</v>
      </c>
      <c r="BV26" s="46">
        <f ca="1">BV25-BW26</f>
        <v>0</v>
      </c>
      <c r="BW26" s="46">
        <f t="shared" ca="1" si="17"/>
        <v>0</v>
      </c>
    </row>
    <row r="27" spans="1:75" ht="14.5" x14ac:dyDescent="0.35">
      <c r="M27" s="20" t="s">
        <v>61</v>
      </c>
      <c r="N27" s="48">
        <f>N21*N22-N25-N26</f>
        <v>20</v>
      </c>
      <c r="R27" s="1" t="s">
        <v>62</v>
      </c>
      <c r="U27" s="43">
        <v>20</v>
      </c>
      <c r="V27" s="44">
        <f t="shared" ca="1" si="22"/>
        <v>0</v>
      </c>
      <c r="W27" s="168">
        <f t="shared" ca="1" si="0"/>
        <v>0</v>
      </c>
      <c r="X27" s="169">
        <f t="shared" ca="1" si="1"/>
        <v>0</v>
      </c>
      <c r="Y27" s="169">
        <f t="shared" ca="1" si="2"/>
        <v>0</v>
      </c>
      <c r="AE27" s="43">
        <v>20</v>
      </c>
      <c r="AF27" s="44" t="e">
        <f t="shared" ca="1" si="18"/>
        <v>#VALUE!</v>
      </c>
      <c r="AG27" s="45" t="e">
        <f t="shared" ca="1" si="3"/>
        <v>#VALUE!</v>
      </c>
      <c r="AH27" s="46" t="e">
        <f t="shared" ca="1" si="4"/>
        <v>#VALUE!</v>
      </c>
      <c r="AI27" s="46" t="e">
        <f t="shared" ca="1" si="5"/>
        <v>#VALUE!</v>
      </c>
      <c r="AO27" s="43">
        <v>20</v>
      </c>
      <c r="AP27" s="19" t="e">
        <f ca="1">AR26*(($AM$8))</f>
        <v>#VALUE!</v>
      </c>
      <c r="AQ27" s="14" t="e">
        <f t="shared" ca="1" si="6"/>
        <v>#VALUE!</v>
      </c>
      <c r="AR27" s="46" t="e">
        <f ca="1">AR26-AS27</f>
        <v>#VALUE!</v>
      </c>
      <c r="AS27" s="46" t="e">
        <f t="shared" ca="1" si="8"/>
        <v>#VALUE!</v>
      </c>
      <c r="AY27" s="43">
        <v>20</v>
      </c>
      <c r="AZ27" s="13" t="e">
        <f ca="1">BB26*(($AW$8))</f>
        <v>#VALUE!</v>
      </c>
      <c r="BA27" s="14" t="e">
        <f t="shared" ca="1" si="9"/>
        <v>#VALUE!</v>
      </c>
      <c r="BB27" s="46" t="e">
        <f ca="1">BB26-BC27</f>
        <v>#VALUE!</v>
      </c>
      <c r="BC27" s="46" t="e">
        <f t="shared" ca="1" si="11"/>
        <v>#VALUE!</v>
      </c>
      <c r="BI27" s="43">
        <v>20</v>
      </c>
      <c r="BJ27" s="13" t="e">
        <f t="shared" ca="1" si="21"/>
        <v>#VALUE!</v>
      </c>
      <c r="BK27" s="14" t="e">
        <f t="shared" ca="1" si="12"/>
        <v>#VALUE!</v>
      </c>
      <c r="BL27" s="46" t="e">
        <f ca="1">BL26-BM27</f>
        <v>#VALUE!</v>
      </c>
      <c r="BM27" s="46" t="e">
        <f t="shared" ca="1" si="14"/>
        <v>#VALUE!</v>
      </c>
      <c r="BS27" s="43">
        <v>20</v>
      </c>
      <c r="BT27" s="13">
        <f t="shared" ca="1" si="23"/>
        <v>0</v>
      </c>
      <c r="BU27" s="14">
        <f t="shared" ca="1" si="15"/>
        <v>0</v>
      </c>
      <c r="BV27" s="46">
        <f ca="1">BV26-BW27</f>
        <v>0</v>
      </c>
      <c r="BW27" s="46">
        <f t="shared" ca="1" si="17"/>
        <v>0</v>
      </c>
    </row>
    <row r="28" spans="1:75" ht="13" x14ac:dyDescent="0.25">
      <c r="M28" s="20" t="s">
        <v>63</v>
      </c>
      <c r="N28" s="49">
        <f>(1+N19)^-N25</f>
        <v>1</v>
      </c>
    </row>
    <row r="29" spans="1:75" ht="13" x14ac:dyDescent="0.25">
      <c r="B29" s="1" t="s">
        <v>30</v>
      </c>
      <c r="M29" s="20" t="s">
        <v>64</v>
      </c>
      <c r="N29" s="50">
        <f>(1+N19)^-N26</f>
        <v>1</v>
      </c>
    </row>
    <row r="30" spans="1:75" ht="13" x14ac:dyDescent="0.25">
      <c r="A30" s="1" t="s">
        <v>36</v>
      </c>
      <c r="B30" s="1">
        <f>IF(B13="","A",B13)</f>
        <v>0</v>
      </c>
      <c r="M30" s="51" t="s">
        <v>65</v>
      </c>
      <c r="N30" s="52">
        <f ca="1">N18*$N$11</f>
        <v>1094.0156488008945</v>
      </c>
      <c r="T30" s="1" t="s">
        <v>66</v>
      </c>
      <c r="V30" s="15">
        <f ca="1">NPV(S7,V9:V27)</f>
        <v>0</v>
      </c>
      <c r="AD30" s="1" t="s">
        <v>66</v>
      </c>
      <c r="AF30" s="15" t="e">
        <f ca="1">NPV(AC7,AF9:AF27)</f>
        <v>#VALUE!</v>
      </c>
      <c r="AN30" s="1" t="s">
        <v>66</v>
      </c>
      <c r="AP30" s="15" t="e">
        <f ca="1">NPV(AM7,AP9:AP27)</f>
        <v>#VALUE!</v>
      </c>
      <c r="AX30" s="1" t="s">
        <v>66</v>
      </c>
      <c r="AZ30" s="15" t="e">
        <f ca="1">NPV(AW7,AZ9:AZ27)</f>
        <v>#VALUE!</v>
      </c>
      <c r="BH30" s="1" t="s">
        <v>66</v>
      </c>
      <c r="BJ30" s="15" t="e">
        <f ca="1">NPV(BG7,BJ9:BJ27)</f>
        <v>#VALUE!</v>
      </c>
      <c r="BR30" s="1" t="s">
        <v>66</v>
      </c>
      <c r="BT30" s="15">
        <f ca="1">NPV(BQ7,BT9:BT27)</f>
        <v>0</v>
      </c>
    </row>
    <row r="31" spans="1:75" ht="13" x14ac:dyDescent="0.25">
      <c r="A31" s="1" t="s">
        <v>38</v>
      </c>
      <c r="B31" s="1" t="str">
        <f t="shared" ref="B31:B34" si="30">IF(B14="","A",B14)</f>
        <v>A</v>
      </c>
      <c r="M31" s="51" t="s">
        <v>67</v>
      </c>
      <c r="N31" s="52">
        <f ca="1">PMT(N18,N27,-N11)</f>
        <v>5594.1324862877746</v>
      </c>
    </row>
    <row r="32" spans="1:75" ht="13" x14ac:dyDescent="0.25">
      <c r="A32" s="1" t="s">
        <v>41</v>
      </c>
      <c r="B32" s="1" t="str">
        <f t="shared" si="30"/>
        <v>A</v>
      </c>
      <c r="M32" s="20" t="s">
        <v>68</v>
      </c>
      <c r="N32" s="49">
        <f>PV(N19,N27,-1)</f>
        <v>18.989847781032623</v>
      </c>
      <c r="T32" s="1" t="s">
        <v>69</v>
      </c>
      <c r="V32" s="15">
        <f ca="1">PV(F13,1,V30)</f>
        <v>0</v>
      </c>
      <c r="AD32" s="1" t="s">
        <v>69</v>
      </c>
      <c r="AF32" s="15" t="e">
        <f ca="1">PV(F14,1,AF30)</f>
        <v>#VALUE!</v>
      </c>
      <c r="AN32" s="1" t="s">
        <v>69</v>
      </c>
      <c r="AP32" s="15" t="e">
        <f ca="1">PV(F15,1,AP30)</f>
        <v>#VALUE!</v>
      </c>
      <c r="AX32" s="1" t="s">
        <v>69</v>
      </c>
      <c r="AZ32" s="15" t="e">
        <f ca="1">PV(F16,1,AZ30)</f>
        <v>#VALUE!</v>
      </c>
      <c r="BH32" s="1" t="s">
        <v>69</v>
      </c>
      <c r="BJ32" s="15" t="e">
        <f ca="1">PV(F17,1,BJ30)</f>
        <v>#VALUE!</v>
      </c>
      <c r="BR32" s="1" t="s">
        <v>69</v>
      </c>
      <c r="BT32" s="15">
        <f ca="1">PV(F18,1,BT30)</f>
        <v>0</v>
      </c>
    </row>
    <row r="33" spans="1:73" ht="13.5" thickBot="1" x14ac:dyDescent="0.3">
      <c r="A33" s="1" t="s">
        <v>43</v>
      </c>
      <c r="B33" s="1" t="str">
        <f t="shared" si="30"/>
        <v>A</v>
      </c>
      <c r="M33" s="20" t="s">
        <v>70</v>
      </c>
      <c r="N33" s="53">
        <f>PV(N19,N25,-1)</f>
        <v>0</v>
      </c>
    </row>
    <row r="34" spans="1:73" ht="16.5" thickTop="1" thickBot="1" x14ac:dyDescent="0.3">
      <c r="A34" s="1" t="s">
        <v>45</v>
      </c>
      <c r="B34" s="1" t="str">
        <f t="shared" si="30"/>
        <v>A</v>
      </c>
      <c r="M34" s="54" t="s">
        <v>71</v>
      </c>
      <c r="N34" s="55">
        <f ca="1">((N18/(N19-N18)*(N11-N31*N32))*N28+N30*N33)*N29</f>
        <v>11453.164052286062</v>
      </c>
      <c r="O34" s="56">
        <f ca="1">((N18/(N19-N18)*(N11-N31*N32)))</f>
        <v>11453.164052286062</v>
      </c>
      <c r="P34" s="57"/>
      <c r="T34" s="1" t="s">
        <v>72</v>
      </c>
      <c r="V34" s="15">
        <f ca="1">PV(F13,1,V8)</f>
        <v>0</v>
      </c>
      <c r="W34" s="58"/>
      <c r="AD34" s="1" t="s">
        <v>72</v>
      </c>
      <c r="AF34" s="15" t="e">
        <f ca="1">PV(F14,1,AF8)</f>
        <v>#VALUE!</v>
      </c>
      <c r="AG34" s="58"/>
      <c r="AN34" s="1" t="s">
        <v>72</v>
      </c>
      <c r="AP34" s="15" t="e">
        <f ca="1">PV(F15,1,AP8)</f>
        <v>#VALUE!</v>
      </c>
      <c r="AQ34" s="58"/>
      <c r="AX34" s="1" t="s">
        <v>72</v>
      </c>
      <c r="AZ34" s="15" t="e">
        <f ca="1">PV(F16,1,AZ8)</f>
        <v>#VALUE!</v>
      </c>
      <c r="BA34" s="58"/>
      <c r="BH34" s="1" t="s">
        <v>72</v>
      </c>
      <c r="BJ34" s="15" t="e">
        <f ca="1">PV(F17,1,BJ8)</f>
        <v>#VALUE!</v>
      </c>
      <c r="BK34" s="58"/>
      <c r="BR34" s="1" t="s">
        <v>72</v>
      </c>
      <c r="BT34" s="15">
        <f ca="1">PV(F18,1,BT8)</f>
        <v>0</v>
      </c>
      <c r="BU34" s="58"/>
    </row>
    <row r="35" spans="1:73" ht="13.5" thickTop="1" x14ac:dyDescent="0.25">
      <c r="A35" s="1" t="s">
        <v>48</v>
      </c>
      <c r="B35" s="1" t="str">
        <f>IF(B18="","A",B18)</f>
        <v>A</v>
      </c>
      <c r="M35" s="20"/>
      <c r="N35" s="20"/>
      <c r="O35" s="59">
        <f ca="1">O34*N28</f>
        <v>11453.164052286062</v>
      </c>
      <c r="Q35" s="1">
        <f ca="1">+N30*N33</f>
        <v>0</v>
      </c>
    </row>
    <row r="36" spans="1:73" ht="13" x14ac:dyDescent="0.25">
      <c r="B36" s="23"/>
      <c r="M36" s="41" t="s">
        <v>73</v>
      </c>
      <c r="N36" s="42" t="str">
        <f>$M$40</f>
        <v>vp = (1+iATT)-p</v>
      </c>
      <c r="O36" s="60">
        <f ca="1">O35+Q35</f>
        <v>11453.164052286062</v>
      </c>
      <c r="S36" s="56"/>
      <c r="T36" s="1" t="s">
        <v>74</v>
      </c>
      <c r="V36" s="58">
        <f ca="1">V32+V34</f>
        <v>0</v>
      </c>
      <c r="AC36" s="56"/>
      <c r="AD36" s="1" t="s">
        <v>74</v>
      </c>
      <c r="AF36" s="58" t="e">
        <f ca="1">AF32+AF34</f>
        <v>#VALUE!</v>
      </c>
      <c r="AM36" s="56"/>
      <c r="AN36" s="1" t="s">
        <v>74</v>
      </c>
      <c r="AP36" s="58" t="e">
        <f ca="1">AP32+AP34</f>
        <v>#VALUE!</v>
      </c>
      <c r="AW36" s="56"/>
      <c r="AX36" s="1" t="s">
        <v>74</v>
      </c>
      <c r="AZ36" s="58" t="e">
        <f ca="1">AZ32+AZ34</f>
        <v>#VALUE!</v>
      </c>
      <c r="BG36" s="56"/>
      <c r="BH36" s="1" t="s">
        <v>74</v>
      </c>
      <c r="BJ36" s="58" t="e">
        <f ca="1">BJ32+BJ34</f>
        <v>#VALUE!</v>
      </c>
      <c r="BQ36" s="56"/>
      <c r="BR36" s="1" t="s">
        <v>74</v>
      </c>
      <c r="BT36" s="58">
        <f ca="1">BT32+BT34</f>
        <v>0</v>
      </c>
    </row>
    <row r="37" spans="1:73" ht="13" x14ac:dyDescent="0.25">
      <c r="M37" s="20" t="s">
        <v>57</v>
      </c>
      <c r="N37" s="36">
        <f>IF(N17*N22-1*N22&gt;0,$N17*N22-1*N22,0)</f>
        <v>0</v>
      </c>
      <c r="V37" s="58"/>
      <c r="AF37" s="58"/>
      <c r="AP37" s="58"/>
      <c r="AZ37" s="58"/>
      <c r="BJ37" s="58"/>
      <c r="BT37" s="58"/>
    </row>
    <row r="38" spans="1:73" ht="15.5" x14ac:dyDescent="0.35">
      <c r="C38" s="61" t="s">
        <v>154</v>
      </c>
      <c r="D38" s="1" t="s">
        <v>76</v>
      </c>
      <c r="E38" s="1" t="s">
        <v>77</v>
      </c>
      <c r="F38" s="1" t="s">
        <v>78</v>
      </c>
      <c r="G38" s="1" t="s">
        <v>79</v>
      </c>
      <c r="H38" s="164" t="s">
        <v>161</v>
      </c>
      <c r="I38" s="164" t="s">
        <v>162</v>
      </c>
      <c r="M38" s="20" t="s">
        <v>60</v>
      </c>
      <c r="N38" s="36">
        <f>(O9-N9)*N22</f>
        <v>2</v>
      </c>
      <c r="S38" s="59"/>
      <c r="T38" s="1" t="s">
        <v>80</v>
      </c>
      <c r="V38" s="62">
        <f ca="1">NPV(S22,V36)</f>
        <v>0</v>
      </c>
      <c r="AC38" s="59"/>
      <c r="AD38" s="1" t="s">
        <v>80</v>
      </c>
      <c r="AF38" s="62" t="e">
        <f>NPV(AC22,AF36)</f>
        <v>#VALUE!</v>
      </c>
      <c r="AM38" s="59"/>
      <c r="AN38" s="1" t="s">
        <v>80</v>
      </c>
      <c r="AP38" s="62" t="e">
        <f>NPV(AM22,AP36)</f>
        <v>#VALUE!</v>
      </c>
      <c r="AW38" s="59"/>
      <c r="AX38" s="1" t="s">
        <v>80</v>
      </c>
      <c r="AZ38" s="62" t="e">
        <f>NPV(AW22,AZ36)</f>
        <v>#VALUE!</v>
      </c>
      <c r="BG38" s="59"/>
      <c r="BH38" s="1" t="s">
        <v>80</v>
      </c>
      <c r="BJ38" s="62" t="e">
        <f>NPV(BG22,BJ36)</f>
        <v>#VALUE!</v>
      </c>
      <c r="BQ38" s="59"/>
      <c r="BR38" s="1" t="s">
        <v>80</v>
      </c>
      <c r="BT38" s="62">
        <f ca="1">NPV(BQ22,BT36)</f>
        <v>0</v>
      </c>
    </row>
    <row r="39" spans="1:73" ht="15.5" x14ac:dyDescent="0.35">
      <c r="A39" s="61" t="s">
        <v>81</v>
      </c>
      <c r="B39" s="23">
        <f>MAX(B13:B18)</f>
        <v>0</v>
      </c>
      <c r="C39" s="37">
        <f>EDATE(B39,6)</f>
        <v>182</v>
      </c>
      <c r="D39" s="23">
        <f>DATE(G39,F39,E39)</f>
        <v>152</v>
      </c>
      <c r="E39" s="1">
        <f>DAY(C23)</f>
        <v>31</v>
      </c>
      <c r="F39" s="1">
        <f>MONTH(C23)</f>
        <v>5</v>
      </c>
      <c r="G39" s="1">
        <f>YEAR(B39)</f>
        <v>1900</v>
      </c>
      <c r="H39" s="165">
        <f>+D39-$B$39</f>
        <v>152</v>
      </c>
      <c r="I39" s="166">
        <f>+IF(H39&lt;0,D40+365,D41)</f>
        <v>517</v>
      </c>
      <c r="M39" s="20" t="s">
        <v>61</v>
      </c>
      <c r="N39" s="63">
        <f>$N21*$N$22-N37-N38</f>
        <v>18</v>
      </c>
      <c r="V39" s="58"/>
      <c r="AF39" s="58"/>
      <c r="AP39" s="58"/>
      <c r="AZ39" s="58"/>
      <c r="BJ39" s="58"/>
      <c r="BT39" s="58"/>
    </row>
    <row r="40" spans="1:73" ht="15.5" x14ac:dyDescent="0.35">
      <c r="A40" s="61" t="s">
        <v>82</v>
      </c>
      <c r="B40" s="40">
        <f>MIN(B30:B36)</f>
        <v>0</v>
      </c>
      <c r="D40" s="23">
        <f>DATE(G40,F40,E40)</f>
        <v>335</v>
      </c>
      <c r="E40" s="1">
        <f>DAY(C24)</f>
        <v>30</v>
      </c>
      <c r="F40" s="1">
        <f>MONTH(C24)</f>
        <v>11</v>
      </c>
      <c r="G40" s="1">
        <f>YEAR(B39)</f>
        <v>1900</v>
      </c>
      <c r="H40" s="165">
        <f>+D40-$B$39</f>
        <v>335</v>
      </c>
      <c r="I40" s="167"/>
      <c r="M40" s="20" t="s">
        <v>63</v>
      </c>
      <c r="N40" s="64">
        <f>(1+N19)^-N37</f>
        <v>1</v>
      </c>
      <c r="S40" s="65"/>
      <c r="T40" s="1" t="s">
        <v>83</v>
      </c>
      <c r="V40" s="58">
        <f ca="1">PV(S7,S25,S24)</f>
        <v>0</v>
      </c>
      <c r="AC40" s="65"/>
      <c r="AD40" s="1" t="s">
        <v>83</v>
      </c>
      <c r="AF40" s="58" t="e">
        <f ca="1">PV(AC7,AC25,AC24)</f>
        <v>#VALUE!</v>
      </c>
      <c r="AM40" s="65"/>
      <c r="AN40" s="1" t="s">
        <v>83</v>
      </c>
      <c r="AP40" s="58" t="e">
        <f ca="1">PV(AM7,AM25,AM24)</f>
        <v>#VALUE!</v>
      </c>
      <c r="AW40" s="65"/>
      <c r="AX40" s="1" t="s">
        <v>83</v>
      </c>
      <c r="AZ40" s="58" t="e">
        <f ca="1">PV(AW7,AW25,AW24)</f>
        <v>#VALUE!</v>
      </c>
      <c r="BG40" s="65"/>
      <c r="BH40" s="1" t="s">
        <v>83</v>
      </c>
      <c r="BJ40" s="58" t="e">
        <f ca="1">PV(BG7,BG25,BG24)</f>
        <v>#VALUE!</v>
      </c>
      <c r="BQ40" s="65"/>
      <c r="BR40" s="1" t="s">
        <v>83</v>
      </c>
      <c r="BT40" s="58">
        <f ca="1">PV(BQ7,BQ25,BQ24)</f>
        <v>0</v>
      </c>
    </row>
    <row r="41" spans="1:73" ht="13" x14ac:dyDescent="0.25">
      <c r="D41" s="23">
        <f>DATE(G41,F41,E41)</f>
        <v>517</v>
      </c>
      <c r="E41" s="1">
        <f>E39</f>
        <v>31</v>
      </c>
      <c r="F41" s="1">
        <f>F39</f>
        <v>5</v>
      </c>
      <c r="G41" s="1">
        <f>G39+1</f>
        <v>1901</v>
      </c>
      <c r="H41" s="165">
        <f>+D41-$B$39</f>
        <v>517</v>
      </c>
      <c r="I41" s="166"/>
      <c r="M41" s="20" t="s">
        <v>64</v>
      </c>
      <c r="N41" s="64">
        <f>(1+N19)^-N38</f>
        <v>0.99009900990099031</v>
      </c>
    </row>
    <row r="42" spans="1:73" ht="13" x14ac:dyDescent="0.25">
      <c r="C42" s="1" t="s">
        <v>153</v>
      </c>
      <c r="M42" s="51" t="s">
        <v>84</v>
      </c>
      <c r="N42" s="66">
        <f ca="1">N18*O11</f>
        <v>0</v>
      </c>
      <c r="S42" s="67"/>
      <c r="T42" s="1" t="s">
        <v>85</v>
      </c>
      <c r="V42" s="1">
        <f>(1+S7)^(-H13)</f>
        <v>1</v>
      </c>
      <c r="AC42" s="67"/>
      <c r="AD42" s="1" t="s">
        <v>85</v>
      </c>
      <c r="AF42" s="1" t="e">
        <f>(1+AC7)^(-H14)</f>
        <v>#VALUE!</v>
      </c>
      <c r="AM42" s="67"/>
      <c r="AN42" s="1" t="s">
        <v>85</v>
      </c>
      <c r="AP42" s="1" t="e">
        <f>(1+AM7)^(-H15)</f>
        <v>#VALUE!</v>
      </c>
      <c r="AW42" s="67"/>
      <c r="AX42" s="1" t="s">
        <v>85</v>
      </c>
      <c r="AZ42" s="1" t="e">
        <f>(1+AW7)^(-H16)</f>
        <v>#VALUE!</v>
      </c>
      <c r="BG42" s="67"/>
      <c r="BH42" s="1" t="s">
        <v>85</v>
      </c>
      <c r="BJ42" s="1" t="e">
        <f>(1+BG7)^(-H17)</f>
        <v>#VALUE!</v>
      </c>
      <c r="BQ42" s="67"/>
      <c r="BR42" s="1" t="s">
        <v>85</v>
      </c>
      <c r="BT42" s="1">
        <f>(1+BQ7)^(-H18)</f>
        <v>1</v>
      </c>
    </row>
    <row r="43" spans="1:73" ht="13" x14ac:dyDescent="0.25">
      <c r="C43" s="1">
        <f>IF(B39&lt;D39,D39,IF(B39&gt;D40,D41,D40))</f>
        <v>152</v>
      </c>
      <c r="M43" s="51" t="s">
        <v>67</v>
      </c>
      <c r="N43" s="66">
        <f ca="1">PMT(N18,N39,-O11)</f>
        <v>0</v>
      </c>
    </row>
    <row r="44" spans="1:73" ht="13" x14ac:dyDescent="0.25">
      <c r="M44" s="20" t="s">
        <v>68</v>
      </c>
      <c r="N44" s="68">
        <f>PV(N19,N39,-1)</f>
        <v>17.174758696730894</v>
      </c>
      <c r="T44" s="4" t="s">
        <v>86</v>
      </c>
      <c r="V44" s="69">
        <f ca="1">IFERROR(((V38+V40)*V42),0)</f>
        <v>0</v>
      </c>
      <c r="W44" s="70">
        <f ca="1">V44+N34</f>
        <v>11453.164052286062</v>
      </c>
      <c r="AD44" s="4" t="s">
        <v>86</v>
      </c>
      <c r="AF44" s="69">
        <f ca="1">IFERROR((AF38+AF40)*AF42,0)</f>
        <v>0</v>
      </c>
      <c r="AG44" s="70">
        <f ca="1">AF44+$N$34</f>
        <v>11453.164052286062</v>
      </c>
      <c r="AN44" s="4" t="s">
        <v>86</v>
      </c>
      <c r="AP44" s="69">
        <f ca="1">IFERROR((AP38+AP40)*AP42,0)</f>
        <v>0</v>
      </c>
      <c r="AQ44" s="70">
        <f ca="1">AP44+$N$34</f>
        <v>11453.164052286062</v>
      </c>
      <c r="AX44" s="4" t="s">
        <v>86</v>
      </c>
      <c r="AZ44" s="69">
        <f ca="1">IFERROR((AZ38+AZ40)*AZ42,0)</f>
        <v>0</v>
      </c>
      <c r="BA44" s="70">
        <f ca="1">AZ44+$N$34</f>
        <v>11453.164052286062</v>
      </c>
      <c r="BH44" s="4" t="s">
        <v>86</v>
      </c>
      <c r="BJ44" s="69">
        <f ca="1">IFERROR((BJ38+BJ40)*BJ42,0)</f>
        <v>0</v>
      </c>
      <c r="BK44" s="70">
        <f ca="1">BJ44+$N$34</f>
        <v>11453.164052286062</v>
      </c>
      <c r="BR44" s="4" t="s">
        <v>86</v>
      </c>
      <c r="BT44" s="69">
        <f ca="1">IFERROR((BT38+BT40)*BT42,0)</f>
        <v>0</v>
      </c>
      <c r="BU44" s="70">
        <f ca="1">BT44+$N$34</f>
        <v>11453.164052286062</v>
      </c>
    </row>
    <row r="45" spans="1:73" ht="13.5" thickBot="1" x14ac:dyDescent="0.3">
      <c r="M45" s="20" t="s">
        <v>70</v>
      </c>
      <c r="N45" s="71">
        <f>PV(N19,N37,-1)</f>
        <v>0</v>
      </c>
    </row>
    <row r="46" spans="1:73" ht="16.5" thickTop="1" thickBot="1" x14ac:dyDescent="0.3">
      <c r="M46" s="54" t="s">
        <v>71</v>
      </c>
      <c r="N46" s="72">
        <f ca="1">IF(N39&lt;=0,0,((N18/(N19-N18)*(O11-N43*N44))*N40+N42*N45)*N41)</f>
        <v>0</v>
      </c>
    </row>
    <row r="47" spans="1:73" ht="13" thickTop="1" x14ac:dyDescent="0.25"/>
    <row r="51" spans="21:23" x14ac:dyDescent="0.25">
      <c r="U51" s="1">
        <f>60/365</f>
        <v>0.16438356164383561</v>
      </c>
      <c r="W51" s="11">
        <f ca="1">S6/W55</f>
        <v>0</v>
      </c>
    </row>
    <row r="53" spans="21:23" x14ac:dyDescent="0.25">
      <c r="U53" s="1">
        <f>1/U51</f>
        <v>6.0833333333333339</v>
      </c>
    </row>
    <row r="54" spans="21:23" x14ac:dyDescent="0.25">
      <c r="W54" s="1">
        <f ca="1">(1-((1+S8)^(-19-U51)))</f>
        <v>0.18821746415475793</v>
      </c>
    </row>
    <row r="55" spans="21:23" x14ac:dyDescent="0.25">
      <c r="U55" s="1">
        <f>60*U53</f>
        <v>365.00000000000006</v>
      </c>
      <c r="W55" s="1">
        <f ca="1">W54/S8</f>
        <v>17.20427531005204</v>
      </c>
    </row>
  </sheetData>
  <mergeCells count="8">
    <mergeCell ref="A1:C1"/>
    <mergeCell ref="BI3:BM3"/>
    <mergeCell ref="BS3:BW3"/>
    <mergeCell ref="N8:O8"/>
    <mergeCell ref="U3:Y3"/>
    <mergeCell ref="AE3:AI3"/>
    <mergeCell ref="AO3:AS3"/>
    <mergeCell ref="AY3:BC3"/>
  </mergeCells>
  <pageMargins left="0.7" right="0.7" top="0.75" bottom="0.75" header="0.3" footer="0.3"/>
  <pageSetup paperSize="0" orientation="portrait" horizontalDpi="0" verticalDpi="0" copie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55"/>
  <sheetViews>
    <sheetView topLeftCell="A4" zoomScaleNormal="100" workbookViewId="0">
      <selection activeCell="B24" sqref="B24"/>
    </sheetView>
  </sheetViews>
  <sheetFormatPr defaultColWidth="8.7265625" defaultRowHeight="12.5" x14ac:dyDescent="0.25"/>
  <cols>
    <col min="1" max="1" width="34.81640625" style="1" customWidth="1"/>
    <col min="2" max="2" width="26.81640625" style="1" customWidth="1"/>
    <col min="3" max="3" width="23.54296875" style="1" customWidth="1"/>
    <col min="4" max="4" width="49.1796875" style="1" customWidth="1"/>
    <col min="5" max="5" width="12.453125" style="1" customWidth="1"/>
    <col min="6" max="6" width="19.453125" style="1" customWidth="1"/>
    <col min="7" max="7" width="18.1796875" style="1" customWidth="1"/>
    <col min="8" max="8" width="32.81640625" style="1" customWidth="1"/>
    <col min="9" max="9" width="12.26953125" style="1" customWidth="1"/>
    <col min="10" max="10" width="16.453125" style="1" customWidth="1"/>
    <col min="11" max="12" width="12.54296875" style="1" customWidth="1"/>
    <col min="13" max="13" width="39.54296875" style="1" customWidth="1"/>
    <col min="14" max="14" width="13.54296875" style="1" customWidth="1"/>
    <col min="15" max="15" width="6.81640625" style="1" customWidth="1"/>
    <col min="16" max="16" width="4" style="1" customWidth="1"/>
    <col min="17" max="17" width="1.81640625" style="1" customWidth="1"/>
    <col min="18" max="18" width="27.81640625" style="1" customWidth="1"/>
    <col min="19" max="19" width="11.81640625" style="1" customWidth="1"/>
    <col min="20" max="20" width="22.54296875" style="1" customWidth="1"/>
    <col min="21" max="21" width="11.81640625" style="1" customWidth="1"/>
    <col min="22" max="22" width="9.81640625" style="1" customWidth="1"/>
    <col min="23" max="23" width="11.81640625" style="1" customWidth="1"/>
    <col min="24" max="24" width="11.1796875" style="1" customWidth="1"/>
    <col min="25" max="25" width="11" style="1" customWidth="1"/>
    <col min="26" max="27" width="8.7265625" style="1" customWidth="1"/>
    <col min="28" max="28" width="27" style="1" customWidth="1"/>
    <col min="29" max="29" width="11.81640625" style="1" customWidth="1"/>
    <col min="30" max="30" width="22.54296875" style="1" customWidth="1"/>
    <col min="31" max="31" width="5.453125" style="1" customWidth="1"/>
    <col min="32" max="32" width="9.81640625" style="1" customWidth="1"/>
    <col min="33" max="33" width="9.54296875" style="1" customWidth="1"/>
    <col min="34" max="34" width="11.1796875" style="1" customWidth="1"/>
    <col min="35" max="35" width="11" style="1" customWidth="1"/>
    <col min="36" max="37" width="8.7265625" style="1" customWidth="1"/>
    <col min="38" max="38" width="27" style="1" customWidth="1"/>
    <col min="39" max="39" width="11.81640625" style="1" customWidth="1"/>
    <col min="40" max="40" width="22.54296875" style="1" customWidth="1"/>
    <col min="41" max="41" width="5.453125" style="1" customWidth="1"/>
    <col min="42" max="42" width="9.81640625" style="1" customWidth="1"/>
    <col min="43" max="43" width="9.54296875" style="1" customWidth="1"/>
    <col min="44" max="44" width="11.1796875" style="1" customWidth="1"/>
    <col min="45" max="45" width="11" style="1" customWidth="1"/>
    <col min="46" max="47" width="8.7265625" style="1" customWidth="1"/>
    <col min="48" max="48" width="27" style="1" customWidth="1"/>
    <col min="49" max="49" width="11.81640625" style="1" customWidth="1"/>
    <col min="50" max="50" width="22.54296875" style="1" customWidth="1"/>
    <col min="51" max="51" width="5.453125" style="1" customWidth="1"/>
    <col min="52" max="52" width="9.81640625" style="1" customWidth="1"/>
    <col min="53" max="53" width="9.54296875" style="1" customWidth="1"/>
    <col min="54" max="54" width="11.1796875" style="1" customWidth="1"/>
    <col min="55" max="55" width="11" style="1" customWidth="1"/>
    <col min="56" max="57" width="8.7265625" style="1" customWidth="1"/>
    <col min="58" max="58" width="27" style="1" customWidth="1"/>
    <col min="59" max="59" width="11.81640625" style="1" customWidth="1"/>
    <col min="60" max="60" width="22.54296875" style="1" customWidth="1"/>
    <col min="61" max="61" width="5.453125" style="1" customWidth="1"/>
    <col min="62" max="62" width="9.81640625" style="1" customWidth="1"/>
    <col min="63" max="63" width="9.54296875" style="1" customWidth="1"/>
    <col min="64" max="64" width="11.1796875" style="1" customWidth="1"/>
    <col min="65" max="65" width="11" style="1" customWidth="1"/>
    <col min="66" max="67" width="8.7265625" style="1" customWidth="1"/>
    <col min="68" max="68" width="27" style="1" customWidth="1"/>
    <col min="69" max="69" width="11.81640625" style="1" customWidth="1"/>
    <col min="70" max="70" width="22.54296875" style="1" customWidth="1"/>
    <col min="71" max="71" width="5.453125" style="1" customWidth="1"/>
    <col min="72" max="72" width="9.81640625" style="1" customWidth="1"/>
    <col min="73" max="73" width="6.81640625" style="1" customWidth="1"/>
    <col min="74" max="74" width="11.1796875" style="1" customWidth="1"/>
    <col min="75" max="75" width="11" style="1" customWidth="1"/>
    <col min="76" max="77" width="8.7265625" style="1" customWidth="1"/>
    <col min="78" max="16384" width="8.7265625" style="1"/>
  </cols>
  <sheetData>
    <row r="1" spans="1:75" ht="42.65" customHeight="1" x14ac:dyDescent="0.25">
      <c r="A1" s="174" t="s">
        <v>94</v>
      </c>
      <c r="B1" s="174"/>
      <c r="C1" s="174"/>
    </row>
    <row r="3" spans="1:75" x14ac:dyDescent="0.25">
      <c r="B3" s="1" t="s">
        <v>0</v>
      </c>
      <c r="D3" s="1" t="s">
        <v>1</v>
      </c>
      <c r="G3" s="5" t="s">
        <v>93</v>
      </c>
      <c r="M3" s="1" t="s">
        <v>2</v>
      </c>
      <c r="R3" s="1" t="s">
        <v>3</v>
      </c>
      <c r="U3" s="171" t="s">
        <v>4</v>
      </c>
      <c r="V3" s="171"/>
      <c r="W3" s="171"/>
      <c r="X3" s="171"/>
      <c r="Y3" s="171"/>
      <c r="AE3" s="171" t="s">
        <v>5</v>
      </c>
      <c r="AF3" s="171"/>
      <c r="AG3" s="171"/>
      <c r="AH3" s="171"/>
      <c r="AI3" s="171"/>
      <c r="AO3" s="171" t="s">
        <v>6</v>
      </c>
      <c r="AP3" s="171"/>
      <c r="AQ3" s="171"/>
      <c r="AR3" s="171"/>
      <c r="AS3" s="171"/>
      <c r="AY3" s="171" t="s">
        <v>7</v>
      </c>
      <c r="AZ3" s="171"/>
      <c r="BA3" s="171"/>
      <c r="BB3" s="171"/>
      <c r="BC3" s="171"/>
      <c r="BI3" s="171" t="s">
        <v>8</v>
      </c>
      <c r="BJ3" s="171"/>
      <c r="BK3" s="171"/>
      <c r="BL3" s="171"/>
      <c r="BM3" s="171"/>
      <c r="BS3" s="171" t="s">
        <v>9</v>
      </c>
      <c r="BT3" s="171"/>
      <c r="BU3" s="171"/>
      <c r="BV3" s="171"/>
      <c r="BW3" s="171"/>
    </row>
    <row r="4" spans="1:75" x14ac:dyDescent="0.25">
      <c r="A4" s="1" t="s">
        <v>10</v>
      </c>
      <c r="B4" s="2">
        <f>Foglio1!C17</f>
        <v>0</v>
      </c>
      <c r="D4" s="69">
        <f>-1*(V44+AF44+AP44+AZ44+BJ44+BT44)</f>
        <v>0</v>
      </c>
      <c r="G4" s="78" t="e">
        <f ca="1">(D4+D7)/SUM(J13:J18)</f>
        <v>#DIV/0!</v>
      </c>
    </row>
    <row r="5" spans="1:75" x14ac:dyDescent="0.25">
      <c r="M5" s="1" t="s">
        <v>11</v>
      </c>
      <c r="N5" s="4">
        <v>0</v>
      </c>
    </row>
    <row r="6" spans="1:75" ht="13" x14ac:dyDescent="0.25">
      <c r="A6" s="1" t="s">
        <v>12</v>
      </c>
      <c r="B6" s="9">
        <f>B4+0.01</f>
        <v>0.01</v>
      </c>
      <c r="D6" s="1" t="s">
        <v>94</v>
      </c>
      <c r="M6" s="1" t="s">
        <v>13</v>
      </c>
      <c r="N6" s="6">
        <v>0.75</v>
      </c>
      <c r="R6" s="1" t="s">
        <v>14</v>
      </c>
      <c r="S6" s="1">
        <f>C13*B20</f>
        <v>0</v>
      </c>
      <c r="U6" s="1" t="s">
        <v>15</v>
      </c>
      <c r="V6" s="7" t="s">
        <v>16</v>
      </c>
      <c r="W6" s="8" t="s">
        <v>17</v>
      </c>
      <c r="X6" s="8" t="s">
        <v>18</v>
      </c>
      <c r="Y6" s="8" t="s">
        <v>19</v>
      </c>
      <c r="AB6" s="1" t="s">
        <v>20</v>
      </c>
      <c r="AC6" s="73">
        <f>C14*$B$20</f>
        <v>0</v>
      </c>
      <c r="AE6" s="1" t="s">
        <v>15</v>
      </c>
      <c r="AF6" s="7" t="s">
        <v>16</v>
      </c>
      <c r="AG6" s="8" t="s">
        <v>17</v>
      </c>
      <c r="AH6" s="8" t="s">
        <v>18</v>
      </c>
      <c r="AI6" s="8" t="s">
        <v>19</v>
      </c>
      <c r="AL6" s="1" t="s">
        <v>20</v>
      </c>
      <c r="AM6" s="1">
        <f>C15*$B$20</f>
        <v>0</v>
      </c>
      <c r="AO6" s="1" t="s">
        <v>15</v>
      </c>
      <c r="AP6" s="7" t="s">
        <v>16</v>
      </c>
      <c r="AQ6" s="8" t="s">
        <v>17</v>
      </c>
      <c r="AR6" s="8" t="s">
        <v>18</v>
      </c>
      <c r="AS6" s="8" t="s">
        <v>19</v>
      </c>
      <c r="AV6" s="1" t="s">
        <v>20</v>
      </c>
      <c r="AW6" s="1">
        <f>C16*$B$20</f>
        <v>0</v>
      </c>
      <c r="AY6" s="1" t="s">
        <v>15</v>
      </c>
      <c r="AZ6" s="7" t="s">
        <v>16</v>
      </c>
      <c r="BA6" s="8" t="s">
        <v>17</v>
      </c>
      <c r="BB6" s="8" t="s">
        <v>18</v>
      </c>
      <c r="BC6" s="8" t="s">
        <v>19</v>
      </c>
      <c r="BF6" s="1" t="s">
        <v>20</v>
      </c>
      <c r="BG6" s="1">
        <f>C17*$B$20</f>
        <v>0</v>
      </c>
      <c r="BI6" s="1" t="s">
        <v>15</v>
      </c>
      <c r="BJ6" s="7" t="s">
        <v>16</v>
      </c>
      <c r="BK6" s="8" t="s">
        <v>17</v>
      </c>
      <c r="BL6" s="8" t="s">
        <v>18</v>
      </c>
      <c r="BM6" s="8" t="s">
        <v>19</v>
      </c>
      <c r="BP6" s="1" t="s">
        <v>20</v>
      </c>
      <c r="BQ6" s="1">
        <f>C18*$B$20</f>
        <v>0</v>
      </c>
      <c r="BS6" s="1" t="s">
        <v>15</v>
      </c>
      <c r="BT6" s="7" t="s">
        <v>16</v>
      </c>
      <c r="BU6" s="8" t="s">
        <v>17</v>
      </c>
      <c r="BV6" s="8" t="s">
        <v>18</v>
      </c>
      <c r="BW6" s="8" t="s">
        <v>19</v>
      </c>
    </row>
    <row r="7" spans="1:75" ht="15" thickBot="1" x14ac:dyDescent="0.4">
      <c r="A7" s="1" t="s">
        <v>21</v>
      </c>
      <c r="B7" s="9">
        <f>B4+0.01</f>
        <v>0.01</v>
      </c>
      <c r="D7" s="3">
        <f>SUM(L13:L18)</f>
        <v>0</v>
      </c>
      <c r="R7" s="1" t="s">
        <v>22</v>
      </c>
      <c r="S7" s="10">
        <f>((1+B7)^(1/2))-1</f>
        <v>4.9875621120889502E-3</v>
      </c>
      <c r="X7" s="1">
        <f>S6</f>
        <v>0</v>
      </c>
      <c r="AB7" s="1" t="s">
        <v>22</v>
      </c>
      <c r="AC7" s="10">
        <f>((1+$B$7)^(1/2))-1</f>
        <v>4.9875621120889502E-3</v>
      </c>
      <c r="AH7" s="1">
        <f>AC6</f>
        <v>0</v>
      </c>
      <c r="AL7" s="1" t="s">
        <v>22</v>
      </c>
      <c r="AM7" s="10">
        <f>((1+$B$7)^(1/2))-1</f>
        <v>4.9875621120889502E-3</v>
      </c>
      <c r="AR7" s="1">
        <f>AM6</f>
        <v>0</v>
      </c>
      <c r="AV7" s="1" t="s">
        <v>22</v>
      </c>
      <c r="AW7" s="10">
        <f>((1+$B$7)^(1/2))-1</f>
        <v>4.9875621120889502E-3</v>
      </c>
      <c r="BB7" s="1">
        <f>AW6</f>
        <v>0</v>
      </c>
      <c r="BF7" s="1" t="s">
        <v>22</v>
      </c>
      <c r="BG7" s="10">
        <f>((1+$B$7)^(1/2))-1</f>
        <v>4.9875621120889502E-3</v>
      </c>
      <c r="BL7" s="1">
        <f>BG6</f>
        <v>0</v>
      </c>
      <c r="BP7" s="1" t="s">
        <v>22</v>
      </c>
      <c r="BQ7" s="10">
        <f>((1+$B$7)^(1/2))-1</f>
        <v>4.9875621120889502E-3</v>
      </c>
      <c r="BV7" s="1">
        <f>BQ6</f>
        <v>0</v>
      </c>
    </row>
    <row r="8" spans="1:75" ht="15" thickBot="1" x14ac:dyDescent="0.4">
      <c r="A8" s="1" t="s">
        <v>87</v>
      </c>
      <c r="B8" s="4">
        <v>10</v>
      </c>
      <c r="C8" s="11"/>
      <c r="D8" s="1" t="s">
        <v>95</v>
      </c>
      <c r="N8" s="172" t="s">
        <v>23</v>
      </c>
      <c r="O8" s="173"/>
      <c r="R8" s="1" t="s">
        <v>24</v>
      </c>
      <c r="S8" s="12">
        <f>((1+B6)^(1/2))-1</f>
        <v>4.9875621120889502E-3</v>
      </c>
      <c r="U8" s="1">
        <v>1</v>
      </c>
      <c r="V8" s="13">
        <f>X7*(($S$14))</f>
        <v>0</v>
      </c>
      <c r="W8" s="14">
        <f>$S$18</f>
        <v>0</v>
      </c>
      <c r="X8" s="15">
        <f>X7-Y8</f>
        <v>0</v>
      </c>
      <c r="Y8" s="15">
        <f>W8-V8</f>
        <v>0</v>
      </c>
      <c r="AB8" s="1" t="s">
        <v>24</v>
      </c>
      <c r="AC8" s="12">
        <f>((1+$B$6)^(1/2))-1</f>
        <v>4.9875621120889502E-3</v>
      </c>
      <c r="AE8" s="1">
        <v>1</v>
      </c>
      <c r="AF8" s="13" t="e">
        <f>AH7*(($AC$14))</f>
        <v>#VALUE!</v>
      </c>
      <c r="AG8" s="14" t="e">
        <f>$AC$18</f>
        <v>#VALUE!</v>
      </c>
      <c r="AH8" s="15" t="e">
        <f>AH7-AI8</f>
        <v>#VALUE!</v>
      </c>
      <c r="AI8" s="15" t="e">
        <f>AG8-AF8</f>
        <v>#VALUE!</v>
      </c>
      <c r="AL8" s="1" t="s">
        <v>24</v>
      </c>
      <c r="AM8" s="12">
        <f>((1+$B$6)^(1/2))-1</f>
        <v>4.9875621120889502E-3</v>
      </c>
      <c r="AO8" s="1">
        <v>1</v>
      </c>
      <c r="AP8" s="13" t="e">
        <f>AR7*(($AM$14))</f>
        <v>#VALUE!</v>
      </c>
      <c r="AQ8" s="14" t="e">
        <f>$AM$18</f>
        <v>#VALUE!</v>
      </c>
      <c r="AR8" s="15" t="e">
        <f>AR7-AS8</f>
        <v>#VALUE!</v>
      </c>
      <c r="AS8" s="15" t="e">
        <f>AQ8-AP8</f>
        <v>#VALUE!</v>
      </c>
      <c r="AV8" s="1" t="s">
        <v>24</v>
      </c>
      <c r="AW8" s="12">
        <f>((1+$B$6)^(1/2))-1</f>
        <v>4.9875621120889502E-3</v>
      </c>
      <c r="AY8" s="1">
        <v>1</v>
      </c>
      <c r="AZ8" s="13" t="e">
        <f>BB7*(($AW$14))</f>
        <v>#VALUE!</v>
      </c>
      <c r="BA8" s="14" t="e">
        <f>$AW$18</f>
        <v>#VALUE!</v>
      </c>
      <c r="BB8" s="15" t="e">
        <f>BB7-BC8</f>
        <v>#VALUE!</v>
      </c>
      <c r="BC8" s="15" t="e">
        <f>BA8-AZ8</f>
        <v>#VALUE!</v>
      </c>
      <c r="BF8" s="1" t="s">
        <v>24</v>
      </c>
      <c r="BG8" s="12">
        <f>((1+$B$6)^(1/2))-1</f>
        <v>4.9875621120889502E-3</v>
      </c>
      <c r="BI8" s="1">
        <v>1</v>
      </c>
      <c r="BJ8" s="13" t="e">
        <f>BL7*((BG14))</f>
        <v>#VALUE!</v>
      </c>
      <c r="BK8" s="14" t="e">
        <f>$BG$18</f>
        <v>#VALUE!</v>
      </c>
      <c r="BL8" s="15" t="e">
        <f>BL7-BM8</f>
        <v>#VALUE!</v>
      </c>
      <c r="BM8" s="15" t="e">
        <f>BK8-BJ8</f>
        <v>#VALUE!</v>
      </c>
      <c r="BP8" s="1" t="s">
        <v>24</v>
      </c>
      <c r="BQ8" s="12">
        <f>((1+$B$6)^(1/2))-1</f>
        <v>4.9875621120889502E-3</v>
      </c>
      <c r="BS8" s="1">
        <v>1</v>
      </c>
      <c r="BT8" s="13">
        <f>BV7*((BQ14))</f>
        <v>0</v>
      </c>
      <c r="BU8" s="14">
        <f>$BQ$18</f>
        <v>0</v>
      </c>
      <c r="BV8" s="15">
        <f>BV7-BW8</f>
        <v>0</v>
      </c>
      <c r="BW8" s="15">
        <f>BU8-BT8</f>
        <v>0</v>
      </c>
    </row>
    <row r="9" spans="1:75" ht="14.5" x14ac:dyDescent="0.35">
      <c r="D9" s="3">
        <f>D4+D7</f>
        <v>0</v>
      </c>
      <c r="M9" s="16"/>
      <c r="N9" s="17">
        <v>1</v>
      </c>
      <c r="O9" s="17">
        <v>2</v>
      </c>
      <c r="R9" s="1" t="s">
        <v>25</v>
      </c>
      <c r="S9" s="18">
        <f>B8</f>
        <v>10</v>
      </c>
      <c r="U9" s="1">
        <v>2</v>
      </c>
      <c r="V9" s="13">
        <f>X8*(($S$8))</f>
        <v>0</v>
      </c>
      <c r="W9" s="14">
        <f t="shared" ref="W9:W27" si="0">$S$18</f>
        <v>0</v>
      </c>
      <c r="X9" s="15">
        <f t="shared" ref="X9:X27" si="1">X8-Y9</f>
        <v>0</v>
      </c>
      <c r="Y9" s="15">
        <f t="shared" ref="Y9:Y27" si="2">W9-V9</f>
        <v>0</v>
      </c>
      <c r="AB9" s="1" t="s">
        <v>25</v>
      </c>
      <c r="AC9" s="18">
        <f>S9</f>
        <v>10</v>
      </c>
      <c r="AE9" s="1">
        <v>2</v>
      </c>
      <c r="AF9" s="13" t="e">
        <f>AH8*(($AC$8))</f>
        <v>#VALUE!</v>
      </c>
      <c r="AG9" s="14" t="e">
        <f t="shared" ref="AG9:AG27" si="3">$AC$18</f>
        <v>#VALUE!</v>
      </c>
      <c r="AH9" s="15" t="e">
        <f t="shared" ref="AH9:AH27" si="4">AH8-AI9</f>
        <v>#VALUE!</v>
      </c>
      <c r="AI9" s="15" t="e">
        <f t="shared" ref="AI9:AI27" si="5">AG9-AF9</f>
        <v>#VALUE!</v>
      </c>
      <c r="AL9" s="1" t="s">
        <v>25</v>
      </c>
      <c r="AM9" s="18">
        <f>AC9</f>
        <v>10</v>
      </c>
      <c r="AO9" s="1">
        <v>2</v>
      </c>
      <c r="AP9" s="19" t="e">
        <f>AR8*(($AM$8))</f>
        <v>#VALUE!</v>
      </c>
      <c r="AQ9" s="14" t="e">
        <f t="shared" ref="AQ9:AQ27" si="6">$AM$18</f>
        <v>#VALUE!</v>
      </c>
      <c r="AR9" s="15" t="e">
        <f t="shared" ref="AR9:AR22" si="7">AR8-AS9</f>
        <v>#VALUE!</v>
      </c>
      <c r="AS9" s="15" t="e">
        <f t="shared" ref="AS9:AS27" si="8">AQ9-AP9</f>
        <v>#VALUE!</v>
      </c>
      <c r="AV9" s="1" t="s">
        <v>25</v>
      </c>
      <c r="AW9" s="18">
        <f>AM9</f>
        <v>10</v>
      </c>
      <c r="AY9" s="1">
        <v>2</v>
      </c>
      <c r="AZ9" s="13" t="e">
        <f>BB8*(($AW$8))</f>
        <v>#VALUE!</v>
      </c>
      <c r="BA9" s="14" t="e">
        <f t="shared" ref="BA9:BA27" si="9">$AW$18</f>
        <v>#VALUE!</v>
      </c>
      <c r="BB9" s="15" t="e">
        <f t="shared" ref="BB9:BB22" si="10">BB8-BC9</f>
        <v>#VALUE!</v>
      </c>
      <c r="BC9" s="15" t="e">
        <f t="shared" ref="BC9:BC27" si="11">BA9-AZ9</f>
        <v>#VALUE!</v>
      </c>
      <c r="BF9" s="1" t="s">
        <v>25</v>
      </c>
      <c r="BG9" s="18">
        <f>AW9</f>
        <v>10</v>
      </c>
      <c r="BI9" s="1">
        <v>2</v>
      </c>
      <c r="BJ9" s="13" t="e">
        <f>BL8*(($BG$8))</f>
        <v>#VALUE!</v>
      </c>
      <c r="BK9" s="14" t="e">
        <f t="shared" ref="BK9:BK27" si="12">$BG$18</f>
        <v>#VALUE!</v>
      </c>
      <c r="BL9" s="15" t="e">
        <f t="shared" ref="BL9:BL22" si="13">BL8-BM9</f>
        <v>#VALUE!</v>
      </c>
      <c r="BM9" s="15" t="e">
        <f t="shared" ref="BM9:BM27" si="14">BK9-BJ9</f>
        <v>#VALUE!</v>
      </c>
      <c r="BP9" s="1" t="s">
        <v>25</v>
      </c>
      <c r="BQ9" s="18">
        <f>BG9</f>
        <v>10</v>
      </c>
      <c r="BS9" s="1">
        <v>2</v>
      </c>
      <c r="BT9" s="13">
        <f>BV8*(($BQ$8))</f>
        <v>0</v>
      </c>
      <c r="BU9" s="14">
        <f t="shared" ref="BU9:BU27" si="15">$BQ$18</f>
        <v>0</v>
      </c>
      <c r="BV9" s="15">
        <f t="shared" ref="BV9:BV22" si="16">BV8-BW9</f>
        <v>0</v>
      </c>
      <c r="BW9" s="15">
        <f t="shared" ref="BW9:BW27" si="17">BU9-BT9</f>
        <v>0</v>
      </c>
    </row>
    <row r="10" spans="1:75" ht="14.5" x14ac:dyDescent="0.35">
      <c r="C10" s="11"/>
      <c r="M10" s="16" t="s">
        <v>26</v>
      </c>
      <c r="N10" s="4">
        <f>100000/0.75</f>
        <v>133333.33333333334</v>
      </c>
      <c r="O10" s="4"/>
      <c r="R10" s="20" t="s">
        <v>27</v>
      </c>
      <c r="U10" s="1">
        <v>3</v>
      </c>
      <c r="V10" s="13">
        <f>X9*(($S$8))</f>
        <v>0</v>
      </c>
      <c r="W10" s="14">
        <f t="shared" si="0"/>
        <v>0</v>
      </c>
      <c r="X10" s="15">
        <f t="shared" si="1"/>
        <v>0</v>
      </c>
      <c r="Y10" s="15">
        <f t="shared" si="2"/>
        <v>0</v>
      </c>
      <c r="AB10" s="20" t="s">
        <v>27</v>
      </c>
      <c r="AE10" s="1">
        <v>3</v>
      </c>
      <c r="AF10" s="13" t="e">
        <f t="shared" ref="AF10:AF27" si="18">AH9*(($AC$8))</f>
        <v>#VALUE!</v>
      </c>
      <c r="AG10" s="14" t="e">
        <f t="shared" si="3"/>
        <v>#VALUE!</v>
      </c>
      <c r="AH10" s="15" t="e">
        <f t="shared" si="4"/>
        <v>#VALUE!</v>
      </c>
      <c r="AI10" s="15" t="e">
        <f t="shared" si="5"/>
        <v>#VALUE!</v>
      </c>
      <c r="AL10" s="20" t="s">
        <v>27</v>
      </c>
      <c r="AO10" s="1">
        <v>3</v>
      </c>
      <c r="AP10" s="19" t="e">
        <f t="shared" ref="AP10:AP26" si="19">AR9*(($AM$8))</f>
        <v>#VALUE!</v>
      </c>
      <c r="AQ10" s="14" t="e">
        <f t="shared" si="6"/>
        <v>#VALUE!</v>
      </c>
      <c r="AR10" s="15" t="e">
        <f t="shared" si="7"/>
        <v>#VALUE!</v>
      </c>
      <c r="AS10" s="15" t="e">
        <f t="shared" si="8"/>
        <v>#VALUE!</v>
      </c>
      <c r="AV10" s="20" t="s">
        <v>27</v>
      </c>
      <c r="AY10" s="1">
        <v>3</v>
      </c>
      <c r="AZ10" s="13" t="e">
        <f t="shared" ref="AZ10:AZ25" si="20">BB9*(($AW$8))</f>
        <v>#VALUE!</v>
      </c>
      <c r="BA10" s="14" t="e">
        <f t="shared" si="9"/>
        <v>#VALUE!</v>
      </c>
      <c r="BB10" s="15" t="e">
        <f t="shared" si="10"/>
        <v>#VALUE!</v>
      </c>
      <c r="BC10" s="15" t="e">
        <f t="shared" si="11"/>
        <v>#VALUE!</v>
      </c>
      <c r="BF10" s="20" t="s">
        <v>27</v>
      </c>
      <c r="BI10" s="1">
        <v>3</v>
      </c>
      <c r="BJ10" s="13" t="e">
        <f t="shared" ref="BJ10:BJ27" si="21">BL9*(($BG$8))</f>
        <v>#VALUE!</v>
      </c>
      <c r="BK10" s="14" t="e">
        <f t="shared" si="12"/>
        <v>#VALUE!</v>
      </c>
      <c r="BL10" s="15" t="e">
        <f t="shared" si="13"/>
        <v>#VALUE!</v>
      </c>
      <c r="BM10" s="15" t="e">
        <f t="shared" si="14"/>
        <v>#VALUE!</v>
      </c>
      <c r="BP10" s="20" t="s">
        <v>27</v>
      </c>
      <c r="BS10" s="1">
        <v>3</v>
      </c>
      <c r="BT10" s="21">
        <f>BV9*(($BQ$8))</f>
        <v>0</v>
      </c>
      <c r="BU10" s="14">
        <f t="shared" si="15"/>
        <v>0</v>
      </c>
      <c r="BV10" s="15">
        <f t="shared" si="16"/>
        <v>0</v>
      </c>
      <c r="BW10" s="15">
        <f t="shared" si="17"/>
        <v>0</v>
      </c>
    </row>
    <row r="11" spans="1:75" ht="14.5" x14ac:dyDescent="0.35">
      <c r="M11" s="1" t="s">
        <v>28</v>
      </c>
      <c r="N11" s="22">
        <f>N10*N6</f>
        <v>100000</v>
      </c>
      <c r="O11" s="22">
        <f>O10*N6</f>
        <v>0</v>
      </c>
      <c r="R11" s="20" t="s">
        <v>29</v>
      </c>
      <c r="S11" s="1">
        <f>2</f>
        <v>2</v>
      </c>
      <c r="U11" s="1">
        <v>4</v>
      </c>
      <c r="V11" s="13">
        <f t="shared" ref="V11:V27" si="22">X10*(($S$8))</f>
        <v>0</v>
      </c>
      <c r="W11" s="14">
        <f t="shared" si="0"/>
        <v>0</v>
      </c>
      <c r="X11" s="15">
        <f t="shared" si="1"/>
        <v>0</v>
      </c>
      <c r="Y11" s="15">
        <f t="shared" si="2"/>
        <v>0</v>
      </c>
      <c r="AB11" s="20" t="s">
        <v>29</v>
      </c>
      <c r="AC11" s="1">
        <f>2</f>
        <v>2</v>
      </c>
      <c r="AE11" s="1">
        <v>4</v>
      </c>
      <c r="AF11" s="13" t="e">
        <f t="shared" si="18"/>
        <v>#VALUE!</v>
      </c>
      <c r="AG11" s="14" t="e">
        <f t="shared" si="3"/>
        <v>#VALUE!</v>
      </c>
      <c r="AH11" s="15" t="e">
        <f t="shared" si="4"/>
        <v>#VALUE!</v>
      </c>
      <c r="AI11" s="15" t="e">
        <f t="shared" si="5"/>
        <v>#VALUE!</v>
      </c>
      <c r="AL11" s="20" t="s">
        <v>29</v>
      </c>
      <c r="AM11" s="1">
        <f>2</f>
        <v>2</v>
      </c>
      <c r="AO11" s="1">
        <v>4</v>
      </c>
      <c r="AP11" s="19" t="e">
        <f t="shared" si="19"/>
        <v>#VALUE!</v>
      </c>
      <c r="AQ11" s="14" t="e">
        <f t="shared" si="6"/>
        <v>#VALUE!</v>
      </c>
      <c r="AR11" s="15" t="e">
        <f t="shared" si="7"/>
        <v>#VALUE!</v>
      </c>
      <c r="AS11" s="15" t="e">
        <f t="shared" si="8"/>
        <v>#VALUE!</v>
      </c>
      <c r="AV11" s="20" t="s">
        <v>29</v>
      </c>
      <c r="AW11" s="1">
        <f>2</f>
        <v>2</v>
      </c>
      <c r="AY11" s="1">
        <v>4</v>
      </c>
      <c r="AZ11" s="13" t="e">
        <f t="shared" si="20"/>
        <v>#VALUE!</v>
      </c>
      <c r="BA11" s="14" t="e">
        <f t="shared" si="9"/>
        <v>#VALUE!</v>
      </c>
      <c r="BB11" s="15" t="e">
        <f t="shared" si="10"/>
        <v>#VALUE!</v>
      </c>
      <c r="BC11" s="15" t="e">
        <f t="shared" si="11"/>
        <v>#VALUE!</v>
      </c>
      <c r="BF11" s="20" t="s">
        <v>29</v>
      </c>
      <c r="BG11" s="1">
        <f>2</f>
        <v>2</v>
      </c>
      <c r="BI11" s="1">
        <v>4</v>
      </c>
      <c r="BJ11" s="13" t="e">
        <f t="shared" si="21"/>
        <v>#VALUE!</v>
      </c>
      <c r="BK11" s="14" t="e">
        <f t="shared" si="12"/>
        <v>#VALUE!</v>
      </c>
      <c r="BL11" s="15" t="e">
        <f t="shared" si="13"/>
        <v>#VALUE!</v>
      </c>
      <c r="BM11" s="15" t="e">
        <f t="shared" si="14"/>
        <v>#VALUE!</v>
      </c>
      <c r="BP11" s="20" t="s">
        <v>29</v>
      </c>
      <c r="BQ11" s="1">
        <f>2</f>
        <v>2</v>
      </c>
      <c r="BS11" s="1">
        <v>4</v>
      </c>
      <c r="BT11" s="13">
        <f t="shared" ref="BT11:BT27" si="23">BV10*(($BQ$8))</f>
        <v>0</v>
      </c>
      <c r="BU11" s="14">
        <f t="shared" si="15"/>
        <v>0</v>
      </c>
      <c r="BV11" s="15">
        <f t="shared" si="16"/>
        <v>0</v>
      </c>
      <c r="BW11" s="15">
        <f t="shared" si="17"/>
        <v>0</v>
      </c>
    </row>
    <row r="12" spans="1:75" ht="14.5" x14ac:dyDescent="0.35">
      <c r="B12" s="1" t="s">
        <v>30</v>
      </c>
      <c r="C12" s="1" t="s">
        <v>90</v>
      </c>
      <c r="D12" s="1" t="s">
        <v>31</v>
      </c>
      <c r="E12" s="1" t="s">
        <v>32</v>
      </c>
      <c r="F12" s="1" t="s">
        <v>33</v>
      </c>
      <c r="G12" s="1" t="s">
        <v>34</v>
      </c>
      <c r="H12" s="1" t="s">
        <v>35</v>
      </c>
      <c r="I12" s="1" t="s">
        <v>88</v>
      </c>
      <c r="J12" s="1" t="s">
        <v>89</v>
      </c>
      <c r="K12" s="1" t="s">
        <v>91</v>
      </c>
      <c r="L12" s="1" t="s">
        <v>92</v>
      </c>
      <c r="U12" s="1">
        <v>5</v>
      </c>
      <c r="V12" s="13">
        <f t="shared" si="22"/>
        <v>0</v>
      </c>
      <c r="W12" s="14">
        <f t="shared" si="0"/>
        <v>0</v>
      </c>
      <c r="X12" s="15">
        <f t="shared" si="1"/>
        <v>0</v>
      </c>
      <c r="Y12" s="15">
        <f t="shared" si="2"/>
        <v>0</v>
      </c>
      <c r="AE12" s="1">
        <v>5</v>
      </c>
      <c r="AF12" s="13" t="e">
        <f t="shared" si="18"/>
        <v>#VALUE!</v>
      </c>
      <c r="AG12" s="14" t="e">
        <f t="shared" si="3"/>
        <v>#VALUE!</v>
      </c>
      <c r="AH12" s="15" t="e">
        <f t="shared" si="4"/>
        <v>#VALUE!</v>
      </c>
      <c r="AI12" s="15" t="e">
        <f t="shared" si="5"/>
        <v>#VALUE!</v>
      </c>
      <c r="AO12" s="1">
        <v>5</v>
      </c>
      <c r="AP12" s="19" t="e">
        <f t="shared" si="19"/>
        <v>#VALUE!</v>
      </c>
      <c r="AQ12" s="14" t="e">
        <f t="shared" si="6"/>
        <v>#VALUE!</v>
      </c>
      <c r="AR12" s="15" t="e">
        <f t="shared" si="7"/>
        <v>#VALUE!</v>
      </c>
      <c r="AS12" s="15" t="e">
        <f t="shared" si="8"/>
        <v>#VALUE!</v>
      </c>
      <c r="AY12" s="1">
        <v>5</v>
      </c>
      <c r="AZ12" s="13" t="e">
        <f t="shared" si="20"/>
        <v>#VALUE!</v>
      </c>
      <c r="BA12" s="14" t="e">
        <f t="shared" si="9"/>
        <v>#VALUE!</v>
      </c>
      <c r="BB12" s="15" t="e">
        <f t="shared" si="10"/>
        <v>#VALUE!</v>
      </c>
      <c r="BC12" s="15" t="e">
        <f t="shared" si="11"/>
        <v>#VALUE!</v>
      </c>
      <c r="BI12" s="1">
        <v>5</v>
      </c>
      <c r="BJ12" s="13" t="e">
        <f t="shared" si="21"/>
        <v>#VALUE!</v>
      </c>
      <c r="BK12" s="14" t="e">
        <f t="shared" si="12"/>
        <v>#VALUE!</v>
      </c>
      <c r="BL12" s="15" t="e">
        <f t="shared" si="13"/>
        <v>#VALUE!</v>
      </c>
      <c r="BM12" s="15" t="e">
        <f t="shared" si="14"/>
        <v>#VALUE!</v>
      </c>
      <c r="BS12" s="1">
        <v>5</v>
      </c>
      <c r="BT12" s="13">
        <f t="shared" si="23"/>
        <v>0</v>
      </c>
      <c r="BU12" s="14">
        <f t="shared" si="15"/>
        <v>0</v>
      </c>
      <c r="BV12" s="15">
        <f t="shared" si="16"/>
        <v>0</v>
      </c>
      <c r="BW12" s="15">
        <f t="shared" si="17"/>
        <v>0</v>
      </c>
    </row>
    <row r="13" spans="1:75" ht="14.5" x14ac:dyDescent="0.35">
      <c r="A13" s="1" t="s">
        <v>36</v>
      </c>
      <c r="B13" s="79">
        <f>Foglio1!H22</f>
        <v>0</v>
      </c>
      <c r="C13" s="80"/>
      <c r="D13" s="24">
        <f>_xlfn.DAYS(B23,B13)</f>
        <v>517</v>
      </c>
      <c r="E13" s="1">
        <f t="shared" ref="E13:E18" si="24">+IF(D13&gt;183,183,D13)</f>
        <v>183</v>
      </c>
      <c r="F13" s="1">
        <f t="shared" ref="F13:F18" si="25">((1+$B$7)^(E13/366))-1</f>
        <v>4.9875621120889502E-3</v>
      </c>
      <c r="G13" s="1">
        <f t="shared" ref="G13:G18" si="26">IF(D13&gt;183,D13-183,0)</f>
        <v>334</v>
      </c>
      <c r="H13" s="1">
        <f>(B13-$B$24)/183</f>
        <v>0</v>
      </c>
      <c r="I13" s="80">
        <f ca="1">Foglio1!L22</f>
        <v>0</v>
      </c>
      <c r="J13" s="75">
        <f ca="1">IFERROR(I13*(1+$B$7)^(_xlfn.DAYS($B$24,B13)/366),"")</f>
        <v>0</v>
      </c>
      <c r="K13" s="76">
        <f>Foglio1!J22</f>
        <v>0</v>
      </c>
      <c r="L13" s="73">
        <f>IFERROR(K13*(1+$B$7)^(_xlfn.DAYS($B$24,B13)/366),"")</f>
        <v>0</v>
      </c>
      <c r="R13" s="1" t="s">
        <v>37</v>
      </c>
      <c r="S13" s="25">
        <f>(1-1*((1+S8)^(-S9*S11)))/S8</f>
        <v>18.989847781032626</v>
      </c>
      <c r="T13" s="15"/>
      <c r="U13" s="1">
        <v>6</v>
      </c>
      <c r="V13" s="13">
        <f t="shared" si="22"/>
        <v>0</v>
      </c>
      <c r="W13" s="14">
        <f t="shared" si="0"/>
        <v>0</v>
      </c>
      <c r="X13" s="15">
        <f t="shared" si="1"/>
        <v>0</v>
      </c>
      <c r="Y13" s="15">
        <f t="shared" si="2"/>
        <v>0</v>
      </c>
      <c r="AB13" s="1" t="s">
        <v>37</v>
      </c>
      <c r="AC13" s="25">
        <f>(1-1*((1+AC8)^(-AC9*AC11)))/AC8</f>
        <v>18.989847781032626</v>
      </c>
      <c r="AE13" s="1">
        <v>6</v>
      </c>
      <c r="AF13" s="13" t="e">
        <f t="shared" si="18"/>
        <v>#VALUE!</v>
      </c>
      <c r="AG13" s="14" t="e">
        <f t="shared" si="3"/>
        <v>#VALUE!</v>
      </c>
      <c r="AH13" s="15" t="e">
        <f t="shared" si="4"/>
        <v>#VALUE!</v>
      </c>
      <c r="AI13" s="15" t="e">
        <f t="shared" si="5"/>
        <v>#VALUE!</v>
      </c>
      <c r="AL13" s="1" t="s">
        <v>37</v>
      </c>
      <c r="AM13" s="25">
        <f>(1-1*((1+AM8)^(-AM9*AM11)))/AM8</f>
        <v>18.989847781032626</v>
      </c>
      <c r="AO13" s="1">
        <v>6</v>
      </c>
      <c r="AP13" s="19" t="e">
        <f t="shared" si="19"/>
        <v>#VALUE!</v>
      </c>
      <c r="AQ13" s="14" t="e">
        <f t="shared" si="6"/>
        <v>#VALUE!</v>
      </c>
      <c r="AR13" s="15" t="e">
        <f t="shared" si="7"/>
        <v>#VALUE!</v>
      </c>
      <c r="AS13" s="15" t="e">
        <f t="shared" si="8"/>
        <v>#VALUE!</v>
      </c>
      <c r="AV13" s="1" t="s">
        <v>37</v>
      </c>
      <c r="AW13" s="25">
        <f>(1-1*((1+AW8)^(-AW9*AW11)))/AW8</f>
        <v>18.989847781032626</v>
      </c>
      <c r="AY13" s="1">
        <v>6</v>
      </c>
      <c r="AZ13" s="13" t="e">
        <f t="shared" si="20"/>
        <v>#VALUE!</v>
      </c>
      <c r="BA13" s="14" t="e">
        <f t="shared" si="9"/>
        <v>#VALUE!</v>
      </c>
      <c r="BB13" s="15" t="e">
        <f t="shared" si="10"/>
        <v>#VALUE!</v>
      </c>
      <c r="BC13" s="15" t="e">
        <f t="shared" si="11"/>
        <v>#VALUE!</v>
      </c>
      <c r="BF13" s="1" t="s">
        <v>37</v>
      </c>
      <c r="BG13" s="25">
        <f>(1-1*((1+BG8)^(-BG9*BG11)))/BG8</f>
        <v>18.989847781032626</v>
      </c>
      <c r="BI13" s="1">
        <v>6</v>
      </c>
      <c r="BJ13" s="13" t="e">
        <f t="shared" si="21"/>
        <v>#VALUE!</v>
      </c>
      <c r="BK13" s="14" t="e">
        <f t="shared" si="12"/>
        <v>#VALUE!</v>
      </c>
      <c r="BL13" s="15" t="e">
        <f t="shared" si="13"/>
        <v>#VALUE!</v>
      </c>
      <c r="BM13" s="15" t="e">
        <f t="shared" si="14"/>
        <v>#VALUE!</v>
      </c>
      <c r="BP13" s="1" t="s">
        <v>37</v>
      </c>
      <c r="BQ13" s="25">
        <f>(1-1*((1+BQ8)^(-BQ9*BQ11)))/BQ8</f>
        <v>18.989847781032626</v>
      </c>
      <c r="BS13" s="1">
        <v>6</v>
      </c>
      <c r="BT13" s="13">
        <f t="shared" si="23"/>
        <v>0</v>
      </c>
      <c r="BU13" s="14">
        <f t="shared" si="15"/>
        <v>0</v>
      </c>
      <c r="BV13" s="15">
        <f t="shared" si="16"/>
        <v>0</v>
      </c>
      <c r="BW13" s="15">
        <f t="shared" si="17"/>
        <v>0</v>
      </c>
    </row>
    <row r="14" spans="1:75" ht="15.5" x14ac:dyDescent="0.35">
      <c r="A14" s="1" t="s">
        <v>38</v>
      </c>
      <c r="B14" s="79" t="str">
        <f>Foglio1!H23</f>
        <v/>
      </c>
      <c r="C14" s="80"/>
      <c r="D14" s="24" t="e">
        <f>_xlfn.DAYS($B$23,B14)</f>
        <v>#VALUE!</v>
      </c>
      <c r="E14" s="1" t="e">
        <f>+IF(D14&gt;183,183,D14)</f>
        <v>#VALUE!</v>
      </c>
      <c r="F14" s="1" t="e">
        <f>((1+$B$7)^(E14/366))-1</f>
        <v>#VALUE!</v>
      </c>
      <c r="G14" s="1" t="e">
        <f>IF(D14&gt;183,D14-183,0)</f>
        <v>#VALUE!</v>
      </c>
      <c r="H14" s="1" t="e">
        <f>(B14-$B$24)/183</f>
        <v>#VALUE!</v>
      </c>
      <c r="I14" s="80">
        <f ca="1">Foglio1!L23</f>
        <v>0</v>
      </c>
      <c r="J14" s="75" t="str">
        <f t="shared" ref="J14:J18" ca="1" si="27">IFERROR(I14*(1+$B$7)^(_xlfn.DAYS($B$24,B14)/366),"")</f>
        <v/>
      </c>
      <c r="K14" s="76">
        <f>Foglio1!J23</f>
        <v>0</v>
      </c>
      <c r="L14" s="73" t="str">
        <f>IFERROR(K14*(1+$B$7)^(_xlfn.DAYS($B$24,B14)/366),"")</f>
        <v/>
      </c>
      <c r="M14" s="26" t="s">
        <v>39</v>
      </c>
      <c r="N14" s="77" t="e">
        <f>N34+N46</f>
        <v>#DIV/0!</v>
      </c>
      <c r="R14" s="1" t="s">
        <v>40</v>
      </c>
      <c r="S14" s="27">
        <f>((1+$B$6)^(E13/366))-1</f>
        <v>4.9875621120889502E-3</v>
      </c>
      <c r="U14" s="1">
        <v>7</v>
      </c>
      <c r="V14" s="13">
        <f t="shared" si="22"/>
        <v>0</v>
      </c>
      <c r="W14" s="14">
        <f t="shared" si="0"/>
        <v>0</v>
      </c>
      <c r="X14" s="15">
        <f t="shared" si="1"/>
        <v>0</v>
      </c>
      <c r="Y14" s="15">
        <f t="shared" si="2"/>
        <v>0</v>
      </c>
      <c r="AB14" s="1" t="s">
        <v>40</v>
      </c>
      <c r="AC14" s="12" t="e">
        <f>((1+$B$6)^(E14/366))-1</f>
        <v>#VALUE!</v>
      </c>
      <c r="AE14" s="1">
        <v>7</v>
      </c>
      <c r="AF14" s="13" t="e">
        <f t="shared" si="18"/>
        <v>#VALUE!</v>
      </c>
      <c r="AG14" s="14" t="e">
        <f t="shared" si="3"/>
        <v>#VALUE!</v>
      </c>
      <c r="AH14" s="15" t="e">
        <f t="shared" si="4"/>
        <v>#VALUE!</v>
      </c>
      <c r="AI14" s="15" t="e">
        <f t="shared" si="5"/>
        <v>#VALUE!</v>
      </c>
      <c r="AL14" s="1" t="s">
        <v>40</v>
      </c>
      <c r="AM14" s="12" t="e">
        <f>((1+$B$6)^(E15/366))-1</f>
        <v>#VALUE!</v>
      </c>
      <c r="AO14" s="1">
        <v>7</v>
      </c>
      <c r="AP14" s="19" t="e">
        <f t="shared" si="19"/>
        <v>#VALUE!</v>
      </c>
      <c r="AQ14" s="14" t="e">
        <f t="shared" si="6"/>
        <v>#VALUE!</v>
      </c>
      <c r="AR14" s="15" t="e">
        <f t="shared" si="7"/>
        <v>#VALUE!</v>
      </c>
      <c r="AS14" s="15" t="e">
        <f t="shared" si="8"/>
        <v>#VALUE!</v>
      </c>
      <c r="AV14" s="1" t="s">
        <v>40</v>
      </c>
      <c r="AW14" s="12" t="e">
        <f>((1+$B$6)^(E16/366))-1</f>
        <v>#VALUE!</v>
      </c>
      <c r="AY14" s="1">
        <v>7</v>
      </c>
      <c r="AZ14" s="13" t="e">
        <f t="shared" si="20"/>
        <v>#VALUE!</v>
      </c>
      <c r="BA14" s="14" t="e">
        <f t="shared" si="9"/>
        <v>#VALUE!</v>
      </c>
      <c r="BB14" s="15" t="e">
        <f t="shared" si="10"/>
        <v>#VALUE!</v>
      </c>
      <c r="BC14" s="15" t="e">
        <f t="shared" si="11"/>
        <v>#VALUE!</v>
      </c>
      <c r="BF14" s="1" t="s">
        <v>40</v>
      </c>
      <c r="BG14" s="12" t="e">
        <f>((1+$B$6)^(E17/366))-1</f>
        <v>#VALUE!</v>
      </c>
      <c r="BI14" s="1">
        <v>7</v>
      </c>
      <c r="BJ14" s="13" t="e">
        <f t="shared" si="21"/>
        <v>#VALUE!</v>
      </c>
      <c r="BK14" s="14" t="e">
        <f t="shared" si="12"/>
        <v>#VALUE!</v>
      </c>
      <c r="BL14" s="15" t="e">
        <f t="shared" si="13"/>
        <v>#VALUE!</v>
      </c>
      <c r="BM14" s="15" t="e">
        <f t="shared" si="14"/>
        <v>#VALUE!</v>
      </c>
      <c r="BP14" s="1" t="s">
        <v>40</v>
      </c>
      <c r="BQ14" s="12">
        <f>((1+$B$6)^(E18/366))-1</f>
        <v>4.9875621120889502E-3</v>
      </c>
      <c r="BS14" s="1">
        <v>7</v>
      </c>
      <c r="BT14" s="13">
        <f t="shared" si="23"/>
        <v>0</v>
      </c>
      <c r="BU14" s="14">
        <f t="shared" si="15"/>
        <v>0</v>
      </c>
      <c r="BV14" s="15">
        <f t="shared" si="16"/>
        <v>0</v>
      </c>
      <c r="BW14" s="15">
        <f t="shared" si="17"/>
        <v>0</v>
      </c>
    </row>
    <row r="15" spans="1:75" ht="14.5" x14ac:dyDescent="0.35">
      <c r="A15" s="1" t="s">
        <v>41</v>
      </c>
      <c r="B15" s="79" t="str">
        <f>Foglio1!H24</f>
        <v/>
      </c>
      <c r="C15" s="80"/>
      <c r="D15" s="24" t="e">
        <f>_xlfn.DAYS($B$23,B15)</f>
        <v>#VALUE!</v>
      </c>
      <c r="E15" s="1" t="e">
        <f t="shared" si="24"/>
        <v>#VALUE!</v>
      </c>
      <c r="F15" s="1" t="e">
        <f>((1+$B$7)^(E15/366))-1</f>
        <v>#VALUE!</v>
      </c>
      <c r="G15" s="1" t="e">
        <f t="shared" si="26"/>
        <v>#VALUE!</v>
      </c>
      <c r="H15" s="1" t="e">
        <f>(B15-$B$24)/183</f>
        <v>#VALUE!</v>
      </c>
      <c r="I15" s="80">
        <f ca="1">Foglio1!L24</f>
        <v>0</v>
      </c>
      <c r="J15" s="75" t="str">
        <f t="shared" ca="1" si="27"/>
        <v/>
      </c>
      <c r="K15" s="76">
        <f>Foglio1!J24</f>
        <v>0</v>
      </c>
      <c r="L15" s="73" t="str">
        <f>IFERROR(K15*(1+$B$7)^(_xlfn.DAYS($B$24,B15)/366),"")</f>
        <v/>
      </c>
      <c r="R15" s="1" t="s">
        <v>42</v>
      </c>
      <c r="S15" s="10">
        <f>F13</f>
        <v>4.9875621120889502E-3</v>
      </c>
      <c r="U15" s="1">
        <v>8</v>
      </c>
      <c r="V15" s="13">
        <f t="shared" si="22"/>
        <v>0</v>
      </c>
      <c r="W15" s="14">
        <f t="shared" si="0"/>
        <v>0</v>
      </c>
      <c r="X15" s="15">
        <f t="shared" si="1"/>
        <v>0</v>
      </c>
      <c r="Y15" s="15">
        <f t="shared" si="2"/>
        <v>0</v>
      </c>
      <c r="AB15" s="1" t="s">
        <v>42</v>
      </c>
      <c r="AC15" s="28" t="e">
        <f>F14</f>
        <v>#VALUE!</v>
      </c>
      <c r="AE15" s="1">
        <v>8</v>
      </c>
      <c r="AF15" s="13" t="e">
        <f t="shared" si="18"/>
        <v>#VALUE!</v>
      </c>
      <c r="AG15" s="14" t="e">
        <f t="shared" si="3"/>
        <v>#VALUE!</v>
      </c>
      <c r="AH15" s="15" t="e">
        <f t="shared" si="4"/>
        <v>#VALUE!</v>
      </c>
      <c r="AI15" s="15" t="e">
        <f t="shared" si="5"/>
        <v>#VALUE!</v>
      </c>
      <c r="AL15" s="1" t="s">
        <v>42</v>
      </c>
      <c r="AM15" s="28" t="e">
        <f>F15</f>
        <v>#VALUE!</v>
      </c>
      <c r="AO15" s="1">
        <v>8</v>
      </c>
      <c r="AP15" s="19" t="e">
        <f t="shared" si="19"/>
        <v>#VALUE!</v>
      </c>
      <c r="AQ15" s="14" t="e">
        <f t="shared" si="6"/>
        <v>#VALUE!</v>
      </c>
      <c r="AR15" s="15" t="e">
        <f t="shared" si="7"/>
        <v>#VALUE!</v>
      </c>
      <c r="AS15" s="15" t="e">
        <f t="shared" si="8"/>
        <v>#VALUE!</v>
      </c>
      <c r="AV15" s="1" t="s">
        <v>42</v>
      </c>
      <c r="AW15" s="28" t="e">
        <f>F16</f>
        <v>#VALUE!</v>
      </c>
      <c r="AY15" s="1">
        <v>8</v>
      </c>
      <c r="AZ15" s="13" t="e">
        <f t="shared" si="20"/>
        <v>#VALUE!</v>
      </c>
      <c r="BA15" s="14" t="e">
        <f t="shared" si="9"/>
        <v>#VALUE!</v>
      </c>
      <c r="BB15" s="15" t="e">
        <f t="shared" si="10"/>
        <v>#VALUE!</v>
      </c>
      <c r="BC15" s="15" t="e">
        <f t="shared" si="11"/>
        <v>#VALUE!</v>
      </c>
      <c r="BF15" s="1" t="s">
        <v>42</v>
      </c>
      <c r="BG15" s="28" t="e">
        <f>F17</f>
        <v>#VALUE!</v>
      </c>
      <c r="BI15" s="1">
        <v>8</v>
      </c>
      <c r="BJ15" s="13" t="e">
        <f t="shared" si="21"/>
        <v>#VALUE!</v>
      </c>
      <c r="BK15" s="14" t="e">
        <f t="shared" si="12"/>
        <v>#VALUE!</v>
      </c>
      <c r="BL15" s="15" t="e">
        <f t="shared" si="13"/>
        <v>#VALUE!</v>
      </c>
      <c r="BM15" s="15" t="e">
        <f t="shared" si="14"/>
        <v>#VALUE!</v>
      </c>
      <c r="BP15" s="1" t="s">
        <v>42</v>
      </c>
      <c r="BQ15" s="28">
        <f>F18</f>
        <v>4.9875621120889502E-3</v>
      </c>
      <c r="BS15" s="1">
        <v>8</v>
      </c>
      <c r="BT15" s="13">
        <f t="shared" si="23"/>
        <v>0</v>
      </c>
      <c r="BU15" s="14">
        <f t="shared" si="15"/>
        <v>0</v>
      </c>
      <c r="BV15" s="15">
        <f t="shared" si="16"/>
        <v>0</v>
      </c>
      <c r="BW15" s="15">
        <f t="shared" si="17"/>
        <v>0</v>
      </c>
    </row>
    <row r="16" spans="1:75" ht="14.5" x14ac:dyDescent="0.35">
      <c r="A16" s="1" t="s">
        <v>43</v>
      </c>
      <c r="B16" s="79" t="str">
        <f>Foglio1!H25</f>
        <v/>
      </c>
      <c r="C16" s="81"/>
      <c r="D16" s="24" t="e">
        <f>_xlfn.DAYS($B$23,B16)</f>
        <v>#VALUE!</v>
      </c>
      <c r="E16" s="1" t="e">
        <f t="shared" si="24"/>
        <v>#VALUE!</v>
      </c>
      <c r="F16" s="1" t="e">
        <f>((1+$B$7)^(E16/366))-1</f>
        <v>#VALUE!</v>
      </c>
      <c r="G16" s="1" t="e">
        <f>IF(D16&gt;183,D16-183,0)</f>
        <v>#VALUE!</v>
      </c>
      <c r="H16" s="1" t="e">
        <f t="shared" ref="H16:H18" si="28">(B16-$B$24)/183</f>
        <v>#VALUE!</v>
      </c>
      <c r="I16" s="80">
        <f ca="1">Foglio1!L25</f>
        <v>0</v>
      </c>
      <c r="J16" s="75" t="str">
        <f t="shared" ca="1" si="27"/>
        <v/>
      </c>
      <c r="K16" s="76">
        <f>Foglio1!J25</f>
        <v>0</v>
      </c>
      <c r="L16" s="73" t="str">
        <f t="shared" ref="L16" si="29">IFERROR(K16*(1+$B$7)^(_xlfn.DAYS($B$24,B16)/366),"")</f>
        <v/>
      </c>
      <c r="R16" s="1" t="s">
        <v>44</v>
      </c>
      <c r="S16" s="1">
        <f>+(S6*S8)-(S6*S14)</f>
        <v>0</v>
      </c>
      <c r="U16" s="1">
        <v>9</v>
      </c>
      <c r="V16" s="13">
        <f t="shared" si="22"/>
        <v>0</v>
      </c>
      <c r="W16" s="14">
        <f t="shared" si="0"/>
        <v>0</v>
      </c>
      <c r="X16" s="15">
        <f t="shared" si="1"/>
        <v>0</v>
      </c>
      <c r="Y16" s="15">
        <f t="shared" si="2"/>
        <v>0</v>
      </c>
      <c r="AB16" s="1" t="s">
        <v>44</v>
      </c>
      <c r="AC16" s="10" t="e">
        <f>+(AC6*AC8)-(AC6*AC14)</f>
        <v>#VALUE!</v>
      </c>
      <c r="AE16" s="1">
        <v>9</v>
      </c>
      <c r="AF16" s="13" t="e">
        <f t="shared" si="18"/>
        <v>#VALUE!</v>
      </c>
      <c r="AG16" s="14" t="e">
        <f t="shared" si="3"/>
        <v>#VALUE!</v>
      </c>
      <c r="AH16" s="15" t="e">
        <f t="shared" si="4"/>
        <v>#VALUE!</v>
      </c>
      <c r="AI16" s="15" t="e">
        <f t="shared" si="5"/>
        <v>#VALUE!</v>
      </c>
      <c r="AL16" s="1" t="s">
        <v>44</v>
      </c>
      <c r="AM16" s="10" t="e">
        <f>+(AM6*AM8)-(AM6*AM14)</f>
        <v>#VALUE!</v>
      </c>
      <c r="AO16" s="1">
        <v>9</v>
      </c>
      <c r="AP16" s="19" t="e">
        <f t="shared" si="19"/>
        <v>#VALUE!</v>
      </c>
      <c r="AQ16" s="14" t="e">
        <f t="shared" si="6"/>
        <v>#VALUE!</v>
      </c>
      <c r="AR16" s="15" t="e">
        <f t="shared" si="7"/>
        <v>#VALUE!</v>
      </c>
      <c r="AS16" s="15" t="e">
        <f t="shared" si="8"/>
        <v>#VALUE!</v>
      </c>
      <c r="AV16" s="1" t="s">
        <v>44</v>
      </c>
      <c r="AW16" s="10" t="e">
        <f>+(AW6*AW8)-(AW6*AW14)</f>
        <v>#VALUE!</v>
      </c>
      <c r="AY16" s="1">
        <v>9</v>
      </c>
      <c r="AZ16" s="13" t="e">
        <f t="shared" si="20"/>
        <v>#VALUE!</v>
      </c>
      <c r="BA16" s="14" t="e">
        <f t="shared" si="9"/>
        <v>#VALUE!</v>
      </c>
      <c r="BB16" s="15" t="e">
        <f t="shared" si="10"/>
        <v>#VALUE!</v>
      </c>
      <c r="BC16" s="15" t="e">
        <f t="shared" si="11"/>
        <v>#VALUE!</v>
      </c>
      <c r="BF16" s="1" t="s">
        <v>44</v>
      </c>
      <c r="BG16" s="10" t="e">
        <f>+(BG6*BG8)-(BG6*BG14)</f>
        <v>#VALUE!</v>
      </c>
      <c r="BI16" s="1">
        <v>9</v>
      </c>
      <c r="BJ16" s="13" t="e">
        <f t="shared" si="21"/>
        <v>#VALUE!</v>
      </c>
      <c r="BK16" s="14" t="e">
        <f t="shared" si="12"/>
        <v>#VALUE!</v>
      </c>
      <c r="BL16" s="15" t="e">
        <f t="shared" si="13"/>
        <v>#VALUE!</v>
      </c>
      <c r="BM16" s="15" t="e">
        <f t="shared" si="14"/>
        <v>#VALUE!</v>
      </c>
      <c r="BP16" s="1" t="s">
        <v>44</v>
      </c>
      <c r="BQ16" s="10">
        <f>+(BQ6*BQ8)-(BQ6*BQ14)</f>
        <v>0</v>
      </c>
      <c r="BS16" s="1">
        <v>9</v>
      </c>
      <c r="BT16" s="13">
        <f t="shared" si="23"/>
        <v>0</v>
      </c>
      <c r="BU16" s="14">
        <f t="shared" si="15"/>
        <v>0</v>
      </c>
      <c r="BV16" s="15">
        <f t="shared" si="16"/>
        <v>0</v>
      </c>
      <c r="BW16" s="15">
        <f t="shared" si="17"/>
        <v>0</v>
      </c>
    </row>
    <row r="17" spans="1:75" ht="14.5" x14ac:dyDescent="0.35">
      <c r="A17" s="1" t="s">
        <v>45</v>
      </c>
      <c r="B17" s="79" t="str">
        <f>Foglio1!H26</f>
        <v/>
      </c>
      <c r="C17" s="82"/>
      <c r="D17" s="24" t="e">
        <f>_xlfn.DAYS($B$23,B17)</f>
        <v>#VALUE!</v>
      </c>
      <c r="E17" s="1" t="e">
        <f t="shared" si="24"/>
        <v>#VALUE!</v>
      </c>
      <c r="F17" s="1" t="e">
        <f t="shared" si="25"/>
        <v>#VALUE!</v>
      </c>
      <c r="G17" s="1" t="e">
        <f t="shared" si="26"/>
        <v>#VALUE!</v>
      </c>
      <c r="H17" s="1" t="e">
        <f t="shared" si="28"/>
        <v>#VALUE!</v>
      </c>
      <c r="I17" s="80">
        <f ca="1">Foglio1!L26</f>
        <v>0</v>
      </c>
      <c r="J17" s="75" t="str">
        <f t="shared" ca="1" si="27"/>
        <v/>
      </c>
      <c r="K17" s="76">
        <f>Foglio1!J26</f>
        <v>0</v>
      </c>
      <c r="L17" s="73" t="str">
        <f>IFERROR(K17*(1+$B$7)^(_xlfn.DAYS($B$24,B17)/366),"")</f>
        <v/>
      </c>
      <c r="M17" s="1" t="s">
        <v>46</v>
      </c>
      <c r="N17" s="29">
        <f>(N5/24)*2</f>
        <v>0</v>
      </c>
      <c r="R17" s="1" t="s">
        <v>47</v>
      </c>
      <c r="S17" s="15">
        <f>PMT(S8,(S9*S11),-S6)</f>
        <v>0</v>
      </c>
      <c r="U17" s="1">
        <v>10</v>
      </c>
      <c r="V17" s="13">
        <f t="shared" si="22"/>
        <v>0</v>
      </c>
      <c r="W17" s="14">
        <f t="shared" si="0"/>
        <v>0</v>
      </c>
      <c r="X17" s="15">
        <f t="shared" si="1"/>
        <v>0</v>
      </c>
      <c r="Y17" s="15">
        <f t="shared" si="2"/>
        <v>0</v>
      </c>
      <c r="AB17" s="1" t="s">
        <v>47</v>
      </c>
      <c r="AC17" s="15">
        <f>PMT(AC8,(AC9*AC11),-AC6)</f>
        <v>0</v>
      </c>
      <c r="AE17" s="1">
        <v>10</v>
      </c>
      <c r="AF17" s="13" t="e">
        <f t="shared" si="18"/>
        <v>#VALUE!</v>
      </c>
      <c r="AG17" s="14" t="e">
        <f t="shared" si="3"/>
        <v>#VALUE!</v>
      </c>
      <c r="AH17" s="15" t="e">
        <f t="shared" si="4"/>
        <v>#VALUE!</v>
      </c>
      <c r="AI17" s="15" t="e">
        <f t="shared" si="5"/>
        <v>#VALUE!</v>
      </c>
      <c r="AL17" s="1" t="s">
        <v>47</v>
      </c>
      <c r="AM17" s="15">
        <f>PMT(AM8,(AM9*AM11),-AM6)</f>
        <v>0</v>
      </c>
      <c r="AO17" s="1">
        <v>10</v>
      </c>
      <c r="AP17" s="19" t="e">
        <f t="shared" si="19"/>
        <v>#VALUE!</v>
      </c>
      <c r="AQ17" s="14" t="e">
        <f t="shared" si="6"/>
        <v>#VALUE!</v>
      </c>
      <c r="AR17" s="15" t="e">
        <f t="shared" si="7"/>
        <v>#VALUE!</v>
      </c>
      <c r="AS17" s="15" t="e">
        <f t="shared" si="8"/>
        <v>#VALUE!</v>
      </c>
      <c r="AV17" s="1" t="s">
        <v>47</v>
      </c>
      <c r="AW17" s="15">
        <f>PMT(AW8,(AW9*AW11),-AW6)</f>
        <v>0</v>
      </c>
      <c r="AY17" s="1">
        <v>10</v>
      </c>
      <c r="AZ17" s="13" t="e">
        <f t="shared" si="20"/>
        <v>#VALUE!</v>
      </c>
      <c r="BA17" s="14" t="e">
        <f t="shared" si="9"/>
        <v>#VALUE!</v>
      </c>
      <c r="BB17" s="15" t="e">
        <f t="shared" si="10"/>
        <v>#VALUE!</v>
      </c>
      <c r="BC17" s="15" t="e">
        <f t="shared" si="11"/>
        <v>#VALUE!</v>
      </c>
      <c r="BF17" s="1" t="s">
        <v>47</v>
      </c>
      <c r="BG17" s="15">
        <f>PMT(BG8,(BG9*BG11),-BG6)</f>
        <v>0</v>
      </c>
      <c r="BI17" s="1">
        <v>10</v>
      </c>
      <c r="BJ17" s="13" t="e">
        <f t="shared" si="21"/>
        <v>#VALUE!</v>
      </c>
      <c r="BK17" s="14" t="e">
        <f t="shared" si="12"/>
        <v>#VALUE!</v>
      </c>
      <c r="BL17" s="15" t="e">
        <f t="shared" si="13"/>
        <v>#VALUE!</v>
      </c>
      <c r="BM17" s="15" t="e">
        <f t="shared" si="14"/>
        <v>#VALUE!</v>
      </c>
      <c r="BP17" s="1" t="s">
        <v>47</v>
      </c>
      <c r="BQ17" s="15">
        <f>PMT(BQ8,(BQ9*BQ11),-BQ6)</f>
        <v>0</v>
      </c>
      <c r="BS17" s="1">
        <v>10</v>
      </c>
      <c r="BT17" s="13">
        <f t="shared" si="23"/>
        <v>0</v>
      </c>
      <c r="BU17" s="14">
        <f t="shared" si="15"/>
        <v>0</v>
      </c>
      <c r="BV17" s="15">
        <f t="shared" si="16"/>
        <v>0</v>
      </c>
      <c r="BW17" s="15">
        <f t="shared" si="17"/>
        <v>0</v>
      </c>
    </row>
    <row r="18" spans="1:75" ht="14.5" x14ac:dyDescent="0.35">
      <c r="A18" s="125" t="s">
        <v>48</v>
      </c>
      <c r="B18" s="40"/>
      <c r="C18" s="125"/>
      <c r="D18" s="126">
        <f>_xlfn.DAYS($B$23,B18)</f>
        <v>517</v>
      </c>
      <c r="E18" s="127">
        <f t="shared" si="24"/>
        <v>183</v>
      </c>
      <c r="F18" s="125">
        <f t="shared" si="25"/>
        <v>4.9875621120889502E-3</v>
      </c>
      <c r="G18" s="125">
        <f t="shared" si="26"/>
        <v>334</v>
      </c>
      <c r="H18" s="125">
        <f t="shared" si="28"/>
        <v>0</v>
      </c>
      <c r="I18" s="128"/>
      <c r="J18" s="129">
        <f t="shared" si="27"/>
        <v>0</v>
      </c>
      <c r="K18" s="128"/>
      <c r="L18" s="130">
        <f t="shared" ref="L18" si="30">K18*(1+$B$7)^(_xlfn.DAYS($B$24,B18)/366)</f>
        <v>0</v>
      </c>
      <c r="M18" s="1" t="s">
        <v>24</v>
      </c>
      <c r="N18" s="31">
        <f>((1+B6)^(1/2))-1</f>
        <v>4.9875621120889502E-3</v>
      </c>
      <c r="R18" s="1" t="s">
        <v>49</v>
      </c>
      <c r="S18" s="32">
        <f>S17-(((NPV(S8,S16)))/S13)</f>
        <v>0</v>
      </c>
      <c r="T18" s="15">
        <f>(S6-(NPV(S8,S16)))/S13</f>
        <v>0</v>
      </c>
      <c r="U18" s="1">
        <v>11</v>
      </c>
      <c r="V18" s="13">
        <f t="shared" si="22"/>
        <v>0</v>
      </c>
      <c r="W18" s="14">
        <f t="shared" si="0"/>
        <v>0</v>
      </c>
      <c r="X18" s="15">
        <f t="shared" si="1"/>
        <v>0</v>
      </c>
      <c r="Y18" s="15">
        <f t="shared" si="2"/>
        <v>0</v>
      </c>
      <c r="AB18" s="1" t="s">
        <v>49</v>
      </c>
      <c r="AC18" s="15" t="e">
        <f>AC17-(((NPV(AC8,AC16)))/AC13)</f>
        <v>#VALUE!</v>
      </c>
      <c r="AD18" s="1" t="e">
        <f>(AC6-(NPV(AC8,AC16)))/AC13</f>
        <v>#VALUE!</v>
      </c>
      <c r="AE18" s="1">
        <v>11</v>
      </c>
      <c r="AF18" s="13" t="e">
        <f t="shared" si="18"/>
        <v>#VALUE!</v>
      </c>
      <c r="AG18" s="14" t="e">
        <f t="shared" si="3"/>
        <v>#VALUE!</v>
      </c>
      <c r="AH18" s="15" t="e">
        <f t="shared" si="4"/>
        <v>#VALUE!</v>
      </c>
      <c r="AI18" s="15" t="e">
        <f t="shared" si="5"/>
        <v>#VALUE!</v>
      </c>
      <c r="AL18" s="1" t="s">
        <v>49</v>
      </c>
      <c r="AM18" s="15" t="e">
        <f>AM17-(((NPV(AM8,AM16)))/AM13)</f>
        <v>#VALUE!</v>
      </c>
      <c r="AN18" s="1" t="e">
        <f>(AM6-(NPV(AM8,AM16)))/AM13</f>
        <v>#VALUE!</v>
      </c>
      <c r="AO18" s="1">
        <v>11</v>
      </c>
      <c r="AP18" s="19" t="e">
        <f t="shared" si="19"/>
        <v>#VALUE!</v>
      </c>
      <c r="AQ18" s="14" t="e">
        <f>$AM$18</f>
        <v>#VALUE!</v>
      </c>
      <c r="AR18" s="15" t="e">
        <f t="shared" si="7"/>
        <v>#VALUE!</v>
      </c>
      <c r="AS18" s="15" t="e">
        <f t="shared" si="8"/>
        <v>#VALUE!</v>
      </c>
      <c r="AV18" s="1" t="s">
        <v>49</v>
      </c>
      <c r="AW18" s="15" t="e">
        <f>AW17-(((NPV(AW8,AW16)))/AW13)</f>
        <v>#VALUE!</v>
      </c>
      <c r="AX18" s="1" t="e">
        <f>(AW6-(NPV(AW8,AW16)))/AW13</f>
        <v>#VALUE!</v>
      </c>
      <c r="AY18" s="1">
        <v>11</v>
      </c>
      <c r="AZ18" s="13" t="e">
        <f t="shared" si="20"/>
        <v>#VALUE!</v>
      </c>
      <c r="BA18" s="14" t="e">
        <f t="shared" si="9"/>
        <v>#VALUE!</v>
      </c>
      <c r="BB18" s="15" t="e">
        <f t="shared" si="10"/>
        <v>#VALUE!</v>
      </c>
      <c r="BC18" s="15" t="e">
        <f t="shared" si="11"/>
        <v>#VALUE!</v>
      </c>
      <c r="BF18" s="1" t="s">
        <v>49</v>
      </c>
      <c r="BG18" s="15" t="e">
        <f>BG17-(((NPV(BG8,BG16)))/BG13)</f>
        <v>#VALUE!</v>
      </c>
      <c r="BH18" s="1" t="e">
        <f>(BG6-(NPV(BG8,BG16)))/BG13</f>
        <v>#VALUE!</v>
      </c>
      <c r="BI18" s="1">
        <v>11</v>
      </c>
      <c r="BJ18" s="13" t="e">
        <f t="shared" si="21"/>
        <v>#VALUE!</v>
      </c>
      <c r="BK18" s="14" t="e">
        <f t="shared" si="12"/>
        <v>#VALUE!</v>
      </c>
      <c r="BL18" s="15" t="e">
        <f t="shared" si="13"/>
        <v>#VALUE!</v>
      </c>
      <c r="BM18" s="15" t="e">
        <f t="shared" si="14"/>
        <v>#VALUE!</v>
      </c>
      <c r="BP18" s="1" t="s">
        <v>49</v>
      </c>
      <c r="BQ18" s="15">
        <f>BQ17-(((NPV(BQ8,BQ16)))/BQ13)</f>
        <v>0</v>
      </c>
      <c r="BR18" s="1">
        <f>(BQ6-(NPV(BQ8,BQ16)))/BQ13</f>
        <v>0</v>
      </c>
      <c r="BS18" s="1">
        <v>11</v>
      </c>
      <c r="BT18" s="13">
        <f t="shared" si="23"/>
        <v>0</v>
      </c>
      <c r="BU18" s="14">
        <f t="shared" si="15"/>
        <v>0</v>
      </c>
      <c r="BV18" s="15">
        <f t="shared" si="16"/>
        <v>0</v>
      </c>
      <c r="BW18" s="15">
        <f t="shared" si="17"/>
        <v>0</v>
      </c>
    </row>
    <row r="19" spans="1:75" ht="14.5" x14ac:dyDescent="0.35">
      <c r="C19" s="1" t="e">
        <f ca="1">C13/I13</f>
        <v>#DIV/0!</v>
      </c>
      <c r="M19" s="1" t="s">
        <v>22</v>
      </c>
      <c r="N19" s="31">
        <f>((1+B7)^(1/2))-1</f>
        <v>4.9875621120889502E-3</v>
      </c>
      <c r="S19" s="15"/>
      <c r="U19" s="1">
        <v>12</v>
      </c>
      <c r="V19" s="13">
        <f t="shared" si="22"/>
        <v>0</v>
      </c>
      <c r="W19" s="14">
        <f t="shared" si="0"/>
        <v>0</v>
      </c>
      <c r="X19" s="15">
        <f t="shared" si="1"/>
        <v>0</v>
      </c>
      <c r="Y19" s="15">
        <f t="shared" si="2"/>
        <v>0</v>
      </c>
      <c r="AC19" s="15"/>
      <c r="AE19" s="1">
        <v>12</v>
      </c>
      <c r="AF19" s="13" t="e">
        <f t="shared" si="18"/>
        <v>#VALUE!</v>
      </c>
      <c r="AG19" s="14" t="e">
        <f>$AC$18</f>
        <v>#VALUE!</v>
      </c>
      <c r="AH19" s="15" t="e">
        <f t="shared" si="4"/>
        <v>#VALUE!</v>
      </c>
      <c r="AI19" s="15" t="e">
        <f t="shared" si="5"/>
        <v>#VALUE!</v>
      </c>
      <c r="AM19" s="15"/>
      <c r="AO19" s="1">
        <v>12</v>
      </c>
      <c r="AP19" s="19" t="e">
        <f t="shared" si="19"/>
        <v>#VALUE!</v>
      </c>
      <c r="AQ19" s="14" t="e">
        <f t="shared" si="6"/>
        <v>#VALUE!</v>
      </c>
      <c r="AR19" s="15" t="e">
        <f t="shared" si="7"/>
        <v>#VALUE!</v>
      </c>
      <c r="AS19" s="15" t="e">
        <f t="shared" si="8"/>
        <v>#VALUE!</v>
      </c>
      <c r="AW19" s="15"/>
      <c r="AY19" s="1">
        <v>12</v>
      </c>
      <c r="AZ19" s="13" t="e">
        <f t="shared" si="20"/>
        <v>#VALUE!</v>
      </c>
      <c r="BA19" s="14" t="e">
        <f t="shared" si="9"/>
        <v>#VALUE!</v>
      </c>
      <c r="BB19" s="15" t="e">
        <f t="shared" si="10"/>
        <v>#VALUE!</v>
      </c>
      <c r="BC19" s="15" t="e">
        <f t="shared" si="11"/>
        <v>#VALUE!</v>
      </c>
      <c r="BG19" s="15"/>
      <c r="BI19" s="1">
        <v>12</v>
      </c>
      <c r="BJ19" s="13" t="e">
        <f t="shared" si="21"/>
        <v>#VALUE!</v>
      </c>
      <c r="BK19" s="14" t="e">
        <f t="shared" si="12"/>
        <v>#VALUE!</v>
      </c>
      <c r="BL19" s="15" t="e">
        <f t="shared" si="13"/>
        <v>#VALUE!</v>
      </c>
      <c r="BM19" s="15" t="e">
        <f t="shared" si="14"/>
        <v>#VALUE!</v>
      </c>
      <c r="BQ19" s="15"/>
      <c r="BS19" s="1">
        <v>12</v>
      </c>
      <c r="BT19" s="13">
        <f t="shared" si="23"/>
        <v>0</v>
      </c>
      <c r="BU19" s="14">
        <f t="shared" si="15"/>
        <v>0</v>
      </c>
      <c r="BV19" s="15">
        <f t="shared" si="16"/>
        <v>0</v>
      </c>
      <c r="BW19" s="15">
        <f t="shared" si="17"/>
        <v>0</v>
      </c>
    </row>
    <row r="20" spans="1:75" ht="14.5" x14ac:dyDescent="0.35">
      <c r="A20" s="1" t="s">
        <v>50</v>
      </c>
      <c r="B20" s="33">
        <v>1</v>
      </c>
      <c r="M20" s="1" t="s">
        <v>25</v>
      </c>
      <c r="N20" s="1">
        <v>10</v>
      </c>
      <c r="R20" s="1" t="s">
        <v>51</v>
      </c>
      <c r="S20" s="1">
        <f>G13/183</f>
        <v>1.825136612021858</v>
      </c>
      <c r="T20" s="34"/>
      <c r="U20" s="1">
        <v>13</v>
      </c>
      <c r="V20" s="13">
        <f t="shared" si="22"/>
        <v>0</v>
      </c>
      <c r="W20" s="14">
        <f t="shared" si="0"/>
        <v>0</v>
      </c>
      <c r="X20" s="15">
        <f t="shared" si="1"/>
        <v>0</v>
      </c>
      <c r="Y20" s="15">
        <f t="shared" si="2"/>
        <v>0</v>
      </c>
      <c r="AB20" s="1" t="s">
        <v>51</v>
      </c>
      <c r="AC20" s="1" t="e">
        <f>G14/183</f>
        <v>#VALUE!</v>
      </c>
      <c r="AD20" s="34"/>
      <c r="AE20" s="1">
        <v>13</v>
      </c>
      <c r="AF20" s="13" t="e">
        <f t="shared" si="18"/>
        <v>#VALUE!</v>
      </c>
      <c r="AG20" s="14" t="e">
        <f t="shared" si="3"/>
        <v>#VALUE!</v>
      </c>
      <c r="AH20" s="15" t="e">
        <f t="shared" si="4"/>
        <v>#VALUE!</v>
      </c>
      <c r="AI20" s="15" t="e">
        <f t="shared" si="5"/>
        <v>#VALUE!</v>
      </c>
      <c r="AL20" s="1" t="s">
        <v>51</v>
      </c>
      <c r="AM20" s="1" t="e">
        <f>G15/183</f>
        <v>#VALUE!</v>
      </c>
      <c r="AN20" s="34"/>
      <c r="AO20" s="1">
        <v>13</v>
      </c>
      <c r="AP20" s="19" t="e">
        <f t="shared" si="19"/>
        <v>#VALUE!</v>
      </c>
      <c r="AQ20" s="14" t="e">
        <f t="shared" si="6"/>
        <v>#VALUE!</v>
      </c>
      <c r="AR20" s="15" t="e">
        <f t="shared" si="7"/>
        <v>#VALUE!</v>
      </c>
      <c r="AS20" s="15" t="e">
        <f t="shared" si="8"/>
        <v>#VALUE!</v>
      </c>
      <c r="AV20" s="1" t="s">
        <v>51</v>
      </c>
      <c r="AW20" s="1" t="e">
        <f>G16/183</f>
        <v>#VALUE!</v>
      </c>
      <c r="AX20" s="34"/>
      <c r="AY20" s="1">
        <v>13</v>
      </c>
      <c r="AZ20" s="13" t="e">
        <f t="shared" si="20"/>
        <v>#VALUE!</v>
      </c>
      <c r="BA20" s="14" t="e">
        <f>$AW$18</f>
        <v>#VALUE!</v>
      </c>
      <c r="BB20" s="15" t="e">
        <f t="shared" si="10"/>
        <v>#VALUE!</v>
      </c>
      <c r="BC20" s="15" t="e">
        <f t="shared" si="11"/>
        <v>#VALUE!</v>
      </c>
      <c r="BF20" s="1" t="s">
        <v>51</v>
      </c>
      <c r="BG20" s="1" t="e">
        <f>G17/183</f>
        <v>#VALUE!</v>
      </c>
      <c r="BH20" s="34"/>
      <c r="BI20" s="1">
        <v>13</v>
      </c>
      <c r="BJ20" s="13" t="e">
        <f t="shared" si="21"/>
        <v>#VALUE!</v>
      </c>
      <c r="BK20" s="14" t="e">
        <f>$BG$18</f>
        <v>#VALUE!</v>
      </c>
      <c r="BL20" s="15" t="e">
        <f t="shared" si="13"/>
        <v>#VALUE!</v>
      </c>
      <c r="BM20" s="15" t="e">
        <f t="shared" si="14"/>
        <v>#VALUE!</v>
      </c>
      <c r="BP20" s="1" t="s">
        <v>51</v>
      </c>
      <c r="BQ20" s="1">
        <f>G18/183</f>
        <v>1.825136612021858</v>
      </c>
      <c r="BR20" s="34"/>
      <c r="BS20" s="1">
        <v>13</v>
      </c>
      <c r="BT20" s="13">
        <f t="shared" si="23"/>
        <v>0</v>
      </c>
      <c r="BU20" s="14">
        <f t="shared" si="15"/>
        <v>0</v>
      </c>
      <c r="BV20" s="15">
        <f t="shared" si="16"/>
        <v>0</v>
      </c>
      <c r="BW20" s="15">
        <f t="shared" si="17"/>
        <v>0</v>
      </c>
    </row>
    <row r="21" spans="1:75" ht="14.5" x14ac:dyDescent="0.35">
      <c r="M21" s="20" t="s">
        <v>27</v>
      </c>
      <c r="N21" s="35">
        <f>$N$20+$N$17</f>
        <v>10</v>
      </c>
      <c r="U21" s="1">
        <v>14</v>
      </c>
      <c r="V21" s="13">
        <f t="shared" si="22"/>
        <v>0</v>
      </c>
      <c r="W21" s="14">
        <f>$S$18</f>
        <v>0</v>
      </c>
      <c r="X21" s="15">
        <f t="shared" si="1"/>
        <v>0</v>
      </c>
      <c r="Y21" s="15">
        <f t="shared" si="2"/>
        <v>0</v>
      </c>
      <c r="AE21" s="1">
        <v>14</v>
      </c>
      <c r="AF21" s="13" t="e">
        <f t="shared" si="18"/>
        <v>#VALUE!</v>
      </c>
      <c r="AG21" s="14" t="e">
        <f t="shared" si="3"/>
        <v>#VALUE!</v>
      </c>
      <c r="AH21" s="15" t="e">
        <f t="shared" si="4"/>
        <v>#VALUE!</v>
      </c>
      <c r="AI21" s="15" t="e">
        <f t="shared" si="5"/>
        <v>#VALUE!</v>
      </c>
      <c r="AO21" s="1">
        <v>14</v>
      </c>
      <c r="AP21" s="19" t="e">
        <f t="shared" si="19"/>
        <v>#VALUE!</v>
      </c>
      <c r="AQ21" s="14" t="e">
        <f t="shared" si="6"/>
        <v>#VALUE!</v>
      </c>
      <c r="AR21" s="15" t="e">
        <f t="shared" si="7"/>
        <v>#VALUE!</v>
      </c>
      <c r="AS21" s="15" t="e">
        <f t="shared" si="8"/>
        <v>#VALUE!</v>
      </c>
      <c r="AY21" s="1">
        <v>14</v>
      </c>
      <c r="AZ21" s="13" t="e">
        <f t="shared" si="20"/>
        <v>#VALUE!</v>
      </c>
      <c r="BA21" s="14" t="e">
        <f t="shared" si="9"/>
        <v>#VALUE!</v>
      </c>
      <c r="BB21" s="15" t="e">
        <f t="shared" si="10"/>
        <v>#VALUE!</v>
      </c>
      <c r="BC21" s="15" t="e">
        <f t="shared" si="11"/>
        <v>#VALUE!</v>
      </c>
      <c r="BI21" s="1">
        <v>14</v>
      </c>
      <c r="BJ21" s="13" t="e">
        <f t="shared" si="21"/>
        <v>#VALUE!</v>
      </c>
      <c r="BK21" s="14" t="e">
        <f t="shared" si="12"/>
        <v>#VALUE!</v>
      </c>
      <c r="BL21" s="15" t="e">
        <f t="shared" si="13"/>
        <v>#VALUE!</v>
      </c>
      <c r="BM21" s="15" t="e">
        <f t="shared" si="14"/>
        <v>#VALUE!</v>
      </c>
      <c r="BS21" s="1">
        <v>14</v>
      </c>
      <c r="BT21" s="13">
        <f t="shared" si="23"/>
        <v>0</v>
      </c>
      <c r="BU21" s="14">
        <f t="shared" si="15"/>
        <v>0</v>
      </c>
      <c r="BV21" s="15">
        <f t="shared" si="16"/>
        <v>0</v>
      </c>
      <c r="BW21" s="15">
        <f t="shared" si="17"/>
        <v>0</v>
      </c>
    </row>
    <row r="22" spans="1:75" ht="14.5" x14ac:dyDescent="0.35">
      <c r="M22" s="20" t="s">
        <v>29</v>
      </c>
      <c r="N22" s="36">
        <v>2</v>
      </c>
      <c r="R22" s="1" t="s">
        <v>52</v>
      </c>
      <c r="S22" s="27">
        <f>((1+S7)^S20)-1</f>
        <v>9.1217080760213065E-3</v>
      </c>
      <c r="U22" s="1">
        <v>15</v>
      </c>
      <c r="V22" s="13">
        <f t="shared" si="22"/>
        <v>0</v>
      </c>
      <c r="W22" s="14">
        <f t="shared" si="0"/>
        <v>0</v>
      </c>
      <c r="X22" s="15">
        <f t="shared" si="1"/>
        <v>0</v>
      </c>
      <c r="Y22" s="15">
        <f t="shared" si="2"/>
        <v>0</v>
      </c>
      <c r="AB22" s="1" t="s">
        <v>52</v>
      </c>
      <c r="AC22" s="27" t="e">
        <f>((1+AC7)^AC20)-1</f>
        <v>#VALUE!</v>
      </c>
      <c r="AE22" s="1">
        <v>15</v>
      </c>
      <c r="AF22" s="13" t="e">
        <f t="shared" si="18"/>
        <v>#VALUE!</v>
      </c>
      <c r="AG22" s="14" t="e">
        <f t="shared" si="3"/>
        <v>#VALUE!</v>
      </c>
      <c r="AH22" s="15" t="e">
        <f t="shared" si="4"/>
        <v>#VALUE!</v>
      </c>
      <c r="AI22" s="15" t="e">
        <f t="shared" si="5"/>
        <v>#VALUE!</v>
      </c>
      <c r="AL22" s="1" t="s">
        <v>52</v>
      </c>
      <c r="AM22" s="27" t="e">
        <f>((1+AM7)^AM20)-1</f>
        <v>#VALUE!</v>
      </c>
      <c r="AO22" s="1">
        <v>15</v>
      </c>
      <c r="AP22" s="19" t="e">
        <f t="shared" si="19"/>
        <v>#VALUE!</v>
      </c>
      <c r="AQ22" s="14" t="e">
        <f t="shared" si="6"/>
        <v>#VALUE!</v>
      </c>
      <c r="AR22" s="15" t="e">
        <f t="shared" si="7"/>
        <v>#VALUE!</v>
      </c>
      <c r="AS22" s="15" t="e">
        <f t="shared" si="8"/>
        <v>#VALUE!</v>
      </c>
      <c r="AV22" s="1" t="s">
        <v>52</v>
      </c>
      <c r="AW22" s="27" t="e">
        <f>((1+AW7)^AW20)-1</f>
        <v>#VALUE!</v>
      </c>
      <c r="AY22" s="1">
        <v>15</v>
      </c>
      <c r="AZ22" s="13" t="e">
        <f t="shared" si="20"/>
        <v>#VALUE!</v>
      </c>
      <c r="BA22" s="14" t="e">
        <f t="shared" si="9"/>
        <v>#VALUE!</v>
      </c>
      <c r="BB22" s="15" t="e">
        <f t="shared" si="10"/>
        <v>#VALUE!</v>
      </c>
      <c r="BC22" s="15" t="e">
        <f t="shared" si="11"/>
        <v>#VALUE!</v>
      </c>
      <c r="BF22" s="1" t="s">
        <v>52</v>
      </c>
      <c r="BG22" s="27" t="e">
        <f>((1+BG7)^BG20)-1</f>
        <v>#VALUE!</v>
      </c>
      <c r="BI22" s="1">
        <v>15</v>
      </c>
      <c r="BJ22" s="13" t="e">
        <f t="shared" si="21"/>
        <v>#VALUE!</v>
      </c>
      <c r="BK22" s="14" t="e">
        <f t="shared" si="12"/>
        <v>#VALUE!</v>
      </c>
      <c r="BL22" s="15" t="e">
        <f t="shared" si="13"/>
        <v>#VALUE!</v>
      </c>
      <c r="BM22" s="15" t="e">
        <f t="shared" si="14"/>
        <v>#VALUE!</v>
      </c>
      <c r="BP22" s="1" t="s">
        <v>52</v>
      </c>
      <c r="BQ22" s="27">
        <f>((1+BQ7)^BQ20)-1</f>
        <v>9.1217080760213065E-3</v>
      </c>
      <c r="BS22" s="1">
        <v>15</v>
      </c>
      <c r="BT22" s="13">
        <f t="shared" si="23"/>
        <v>0</v>
      </c>
      <c r="BU22" s="14">
        <f t="shared" si="15"/>
        <v>0</v>
      </c>
      <c r="BV22" s="15">
        <f t="shared" si="16"/>
        <v>0</v>
      </c>
      <c r="BW22" s="15">
        <f t="shared" si="17"/>
        <v>0</v>
      </c>
    </row>
    <row r="23" spans="1:75" ht="14.5" x14ac:dyDescent="0.35">
      <c r="A23" s="1" t="s">
        <v>53</v>
      </c>
      <c r="B23" s="37">
        <f>+I39</f>
        <v>517</v>
      </c>
      <c r="C23" s="38">
        <v>43616</v>
      </c>
      <c r="D23" s="1">
        <f>+_xlfn.DAYS(C24,C23)</f>
        <v>183</v>
      </c>
      <c r="E23" s="38"/>
      <c r="F23" s="38"/>
      <c r="M23" s="20"/>
      <c r="N23" s="36"/>
      <c r="U23" s="1">
        <v>16</v>
      </c>
      <c r="V23" s="13">
        <f t="shared" si="22"/>
        <v>0</v>
      </c>
      <c r="W23" s="14">
        <f t="shared" si="0"/>
        <v>0</v>
      </c>
      <c r="X23" s="15">
        <f t="shared" si="1"/>
        <v>0</v>
      </c>
      <c r="Y23" s="15">
        <f t="shared" si="2"/>
        <v>0</v>
      </c>
      <c r="AE23" s="1">
        <v>16</v>
      </c>
      <c r="AF23" s="13" t="e">
        <f t="shared" si="18"/>
        <v>#VALUE!</v>
      </c>
      <c r="AG23" s="14" t="e">
        <f t="shared" si="3"/>
        <v>#VALUE!</v>
      </c>
      <c r="AH23" s="39" t="e">
        <f>AH22-AI23</f>
        <v>#VALUE!</v>
      </c>
      <c r="AI23" s="15" t="e">
        <f t="shared" si="5"/>
        <v>#VALUE!</v>
      </c>
      <c r="AO23" s="1">
        <v>16</v>
      </c>
      <c r="AP23" s="19" t="e">
        <f t="shared" si="19"/>
        <v>#VALUE!</v>
      </c>
      <c r="AQ23" s="14" t="e">
        <f t="shared" si="6"/>
        <v>#VALUE!</v>
      </c>
      <c r="AR23" s="39" t="e">
        <f>AR22-AS23</f>
        <v>#VALUE!</v>
      </c>
      <c r="AS23" s="15" t="e">
        <f t="shared" si="8"/>
        <v>#VALUE!</v>
      </c>
      <c r="AY23" s="1">
        <v>16</v>
      </c>
      <c r="AZ23" s="13" t="e">
        <f t="shared" si="20"/>
        <v>#VALUE!</v>
      </c>
      <c r="BA23" s="14" t="e">
        <f t="shared" si="9"/>
        <v>#VALUE!</v>
      </c>
      <c r="BB23" s="39" t="e">
        <f>BB22-BC23</f>
        <v>#VALUE!</v>
      </c>
      <c r="BC23" s="15" t="e">
        <f t="shared" si="11"/>
        <v>#VALUE!</v>
      </c>
      <c r="BI23" s="1">
        <v>16</v>
      </c>
      <c r="BJ23" s="13" t="e">
        <f t="shared" si="21"/>
        <v>#VALUE!</v>
      </c>
      <c r="BK23" s="14" t="e">
        <f t="shared" si="12"/>
        <v>#VALUE!</v>
      </c>
      <c r="BL23" s="39" t="e">
        <f>BL22-BM23</f>
        <v>#VALUE!</v>
      </c>
      <c r="BM23" s="15" t="e">
        <f t="shared" si="14"/>
        <v>#VALUE!</v>
      </c>
      <c r="BS23" s="1">
        <v>16</v>
      </c>
      <c r="BT23" s="13">
        <f t="shared" si="23"/>
        <v>0</v>
      </c>
      <c r="BU23" s="14">
        <f t="shared" si="15"/>
        <v>0</v>
      </c>
      <c r="BV23" s="39">
        <f>BV22-BW23</f>
        <v>0</v>
      </c>
      <c r="BW23" s="15">
        <f t="shared" si="17"/>
        <v>0</v>
      </c>
    </row>
    <row r="24" spans="1:75" ht="14.5" x14ac:dyDescent="0.35">
      <c r="A24" s="1" t="s">
        <v>54</v>
      </c>
      <c r="B24" s="40">
        <f>B40</f>
        <v>0</v>
      </c>
      <c r="C24" s="38">
        <v>43799</v>
      </c>
      <c r="D24" s="1">
        <f>+_xlfn.DAYS(C23,C24)</f>
        <v>-183</v>
      </c>
      <c r="E24" s="38"/>
      <c r="F24" s="38"/>
      <c r="M24" s="41" t="s">
        <v>55</v>
      </c>
      <c r="N24" s="42">
        <f>$G$40</f>
        <v>1900</v>
      </c>
      <c r="R24" s="1" t="s">
        <v>56</v>
      </c>
      <c r="S24" s="1">
        <f>S8*S6</f>
        <v>0</v>
      </c>
      <c r="U24" s="43">
        <v>17</v>
      </c>
      <c r="V24" s="44">
        <f t="shared" si="22"/>
        <v>0</v>
      </c>
      <c r="W24" s="45">
        <f t="shared" si="0"/>
        <v>0</v>
      </c>
      <c r="X24" s="46">
        <f t="shared" si="1"/>
        <v>0</v>
      </c>
      <c r="Y24" s="46">
        <f t="shared" si="2"/>
        <v>0</v>
      </c>
      <c r="AB24" s="1" t="s">
        <v>56</v>
      </c>
      <c r="AC24" s="74">
        <f>AC8*AC6</f>
        <v>0</v>
      </c>
      <c r="AE24" s="43">
        <v>17</v>
      </c>
      <c r="AF24" s="44" t="e">
        <f>AH23*(($AC$8))</f>
        <v>#VALUE!</v>
      </c>
      <c r="AG24" s="45" t="e">
        <f t="shared" si="3"/>
        <v>#VALUE!</v>
      </c>
      <c r="AH24" s="46" t="e">
        <f t="shared" si="4"/>
        <v>#VALUE!</v>
      </c>
      <c r="AI24" s="46" t="e">
        <f t="shared" si="5"/>
        <v>#VALUE!</v>
      </c>
      <c r="AL24" s="1" t="s">
        <v>56</v>
      </c>
      <c r="AM24" s="1">
        <f>AM8*AM6</f>
        <v>0</v>
      </c>
      <c r="AO24" s="43">
        <v>17</v>
      </c>
      <c r="AP24" s="19" t="e">
        <f t="shared" si="19"/>
        <v>#VALUE!</v>
      </c>
      <c r="AQ24" s="14" t="e">
        <f t="shared" si="6"/>
        <v>#VALUE!</v>
      </c>
      <c r="AR24" s="46" t="e">
        <f>AR23-AS24</f>
        <v>#VALUE!</v>
      </c>
      <c r="AS24" s="46" t="e">
        <f t="shared" si="8"/>
        <v>#VALUE!</v>
      </c>
      <c r="AV24" s="1" t="s">
        <v>56</v>
      </c>
      <c r="AW24" s="1">
        <f>AW8*AW6</f>
        <v>0</v>
      </c>
      <c r="AY24" s="43">
        <v>17</v>
      </c>
      <c r="AZ24" s="13" t="e">
        <f t="shared" si="20"/>
        <v>#VALUE!</v>
      </c>
      <c r="BA24" s="14" t="e">
        <f t="shared" si="9"/>
        <v>#VALUE!</v>
      </c>
      <c r="BB24" s="46" t="e">
        <f>BB23-BC24</f>
        <v>#VALUE!</v>
      </c>
      <c r="BC24" s="46" t="e">
        <f t="shared" si="11"/>
        <v>#VALUE!</v>
      </c>
      <c r="BF24" s="1" t="s">
        <v>56</v>
      </c>
      <c r="BG24" s="1">
        <f>BG8*BG6</f>
        <v>0</v>
      </c>
      <c r="BI24" s="43">
        <v>17</v>
      </c>
      <c r="BJ24" s="13" t="e">
        <f t="shared" si="21"/>
        <v>#VALUE!</v>
      </c>
      <c r="BK24" s="14" t="e">
        <f t="shared" si="12"/>
        <v>#VALUE!</v>
      </c>
      <c r="BL24" s="46" t="e">
        <f>BL23-BM24</f>
        <v>#VALUE!</v>
      </c>
      <c r="BM24" s="46" t="e">
        <f t="shared" si="14"/>
        <v>#VALUE!</v>
      </c>
      <c r="BP24" s="1" t="s">
        <v>56</v>
      </c>
      <c r="BQ24" s="1">
        <f>BQ8*BQ6</f>
        <v>0</v>
      </c>
      <c r="BS24" s="43">
        <v>17</v>
      </c>
      <c r="BT24" s="13">
        <f t="shared" si="23"/>
        <v>0</v>
      </c>
      <c r="BU24" s="14">
        <f t="shared" si="15"/>
        <v>0</v>
      </c>
      <c r="BV24" s="46">
        <f>BV23-BW24</f>
        <v>0</v>
      </c>
      <c r="BW24" s="46">
        <f t="shared" si="17"/>
        <v>0</v>
      </c>
    </row>
    <row r="25" spans="1:75" ht="14.5" x14ac:dyDescent="0.35">
      <c r="M25" s="20" t="s">
        <v>57</v>
      </c>
      <c r="N25" s="35">
        <f>IF($N$17*$N$22-0*$N$17&gt;0,$N$17*$N$22-0*$N$17,0)</f>
        <v>0</v>
      </c>
      <c r="R25" s="1" t="s">
        <v>58</v>
      </c>
      <c r="S25" s="1">
        <f>S20</f>
        <v>1.825136612021858</v>
      </c>
      <c r="U25" s="43">
        <v>18</v>
      </c>
      <c r="V25" s="44">
        <f t="shared" si="22"/>
        <v>0</v>
      </c>
      <c r="W25" s="45">
        <f t="shared" si="0"/>
        <v>0</v>
      </c>
      <c r="X25" s="46">
        <f t="shared" si="1"/>
        <v>0</v>
      </c>
      <c r="Y25" s="46">
        <f t="shared" si="2"/>
        <v>0</v>
      </c>
      <c r="AB25" s="1" t="s">
        <v>58</v>
      </c>
      <c r="AC25" s="1" t="e">
        <f>AC20</f>
        <v>#VALUE!</v>
      </c>
      <c r="AE25" s="43">
        <v>18</v>
      </c>
      <c r="AF25" s="44" t="e">
        <f t="shared" si="18"/>
        <v>#VALUE!</v>
      </c>
      <c r="AG25" s="45" t="e">
        <f t="shared" si="3"/>
        <v>#VALUE!</v>
      </c>
      <c r="AH25" s="46" t="e">
        <f t="shared" si="4"/>
        <v>#VALUE!</v>
      </c>
      <c r="AI25" s="46" t="e">
        <f t="shared" si="5"/>
        <v>#VALUE!</v>
      </c>
      <c r="AL25" s="1" t="s">
        <v>58</v>
      </c>
      <c r="AM25" s="1" t="e">
        <f>AM20</f>
        <v>#VALUE!</v>
      </c>
      <c r="AO25" s="43">
        <v>18</v>
      </c>
      <c r="AP25" s="19" t="e">
        <f t="shared" si="19"/>
        <v>#VALUE!</v>
      </c>
      <c r="AQ25" s="14" t="e">
        <f t="shared" si="6"/>
        <v>#VALUE!</v>
      </c>
      <c r="AR25" s="46" t="e">
        <f>AR24-AS25</f>
        <v>#VALUE!</v>
      </c>
      <c r="AS25" s="46" t="e">
        <f t="shared" si="8"/>
        <v>#VALUE!</v>
      </c>
      <c r="AV25" s="1" t="s">
        <v>58</v>
      </c>
      <c r="AW25" s="1" t="e">
        <f>AW20</f>
        <v>#VALUE!</v>
      </c>
      <c r="AY25" s="43">
        <v>18</v>
      </c>
      <c r="AZ25" s="13" t="e">
        <f t="shared" si="20"/>
        <v>#VALUE!</v>
      </c>
      <c r="BA25" s="14" t="e">
        <f t="shared" si="9"/>
        <v>#VALUE!</v>
      </c>
      <c r="BB25" s="46" t="e">
        <f>BB24-BC25</f>
        <v>#VALUE!</v>
      </c>
      <c r="BC25" s="46" t="e">
        <f t="shared" si="11"/>
        <v>#VALUE!</v>
      </c>
      <c r="BF25" s="1" t="s">
        <v>58</v>
      </c>
      <c r="BG25" s="1" t="e">
        <f>BG20</f>
        <v>#VALUE!</v>
      </c>
      <c r="BI25" s="43">
        <v>18</v>
      </c>
      <c r="BJ25" s="13" t="e">
        <f t="shared" si="21"/>
        <v>#VALUE!</v>
      </c>
      <c r="BK25" s="14" t="e">
        <f t="shared" si="12"/>
        <v>#VALUE!</v>
      </c>
      <c r="BL25" s="46" t="e">
        <f>BL24-BM25</f>
        <v>#VALUE!</v>
      </c>
      <c r="BM25" s="46" t="e">
        <f t="shared" si="14"/>
        <v>#VALUE!</v>
      </c>
      <c r="BP25" s="1" t="s">
        <v>58</v>
      </c>
      <c r="BQ25" s="1">
        <f>BQ20</f>
        <v>1.825136612021858</v>
      </c>
      <c r="BS25" s="43">
        <v>18</v>
      </c>
      <c r="BT25" s="13">
        <f t="shared" si="23"/>
        <v>0</v>
      </c>
      <c r="BU25" s="14">
        <f t="shared" si="15"/>
        <v>0</v>
      </c>
      <c r="BV25" s="46">
        <f>BV24-BW25</f>
        <v>0</v>
      </c>
      <c r="BW25" s="46">
        <f t="shared" si="17"/>
        <v>0</v>
      </c>
    </row>
    <row r="26" spans="1:75" ht="14.5" x14ac:dyDescent="0.35">
      <c r="B26" s="1" t="s">
        <v>59</v>
      </c>
      <c r="D26" s="1">
        <f>D23-D24</f>
        <v>366</v>
      </c>
      <c r="M26" s="20" t="s">
        <v>60</v>
      </c>
      <c r="N26" s="47">
        <f>($N$9-$N$9)*$N$22</f>
        <v>0</v>
      </c>
      <c r="U26" s="43">
        <v>19</v>
      </c>
      <c r="V26" s="44">
        <f t="shared" si="22"/>
        <v>0</v>
      </c>
      <c r="W26" s="45">
        <f t="shared" si="0"/>
        <v>0</v>
      </c>
      <c r="X26" s="46">
        <f t="shared" si="1"/>
        <v>0</v>
      </c>
      <c r="Y26" s="46">
        <f t="shared" si="2"/>
        <v>0</v>
      </c>
      <c r="AE26" s="43">
        <v>19</v>
      </c>
      <c r="AF26" s="44" t="e">
        <f t="shared" si="18"/>
        <v>#VALUE!</v>
      </c>
      <c r="AG26" s="45" t="e">
        <f t="shared" si="3"/>
        <v>#VALUE!</v>
      </c>
      <c r="AH26" s="46" t="e">
        <f t="shared" si="4"/>
        <v>#VALUE!</v>
      </c>
      <c r="AI26" s="46" t="e">
        <f t="shared" si="5"/>
        <v>#VALUE!</v>
      </c>
      <c r="AO26" s="43">
        <v>19</v>
      </c>
      <c r="AP26" s="19" t="e">
        <f t="shared" si="19"/>
        <v>#VALUE!</v>
      </c>
      <c r="AQ26" s="14" t="e">
        <f t="shared" si="6"/>
        <v>#VALUE!</v>
      </c>
      <c r="AR26" s="46" t="e">
        <f>AR25-AS26</f>
        <v>#VALUE!</v>
      </c>
      <c r="AS26" s="46" t="e">
        <f t="shared" si="8"/>
        <v>#VALUE!</v>
      </c>
      <c r="AY26" s="43">
        <v>19</v>
      </c>
      <c r="AZ26" s="13" t="e">
        <f>BB25*(($AW$8))</f>
        <v>#VALUE!</v>
      </c>
      <c r="BA26" s="14" t="e">
        <f t="shared" si="9"/>
        <v>#VALUE!</v>
      </c>
      <c r="BB26" s="46" t="e">
        <f>BB25-BC26</f>
        <v>#VALUE!</v>
      </c>
      <c r="BC26" s="46" t="e">
        <f t="shared" si="11"/>
        <v>#VALUE!</v>
      </c>
      <c r="BI26" s="43">
        <v>19</v>
      </c>
      <c r="BJ26" s="13" t="e">
        <f t="shared" si="21"/>
        <v>#VALUE!</v>
      </c>
      <c r="BK26" s="14" t="e">
        <f t="shared" si="12"/>
        <v>#VALUE!</v>
      </c>
      <c r="BL26" s="46" t="e">
        <f>BL25-BM26</f>
        <v>#VALUE!</v>
      </c>
      <c r="BM26" s="46" t="e">
        <f t="shared" si="14"/>
        <v>#VALUE!</v>
      </c>
      <c r="BS26" s="43">
        <v>19</v>
      </c>
      <c r="BT26" s="13">
        <f t="shared" si="23"/>
        <v>0</v>
      </c>
      <c r="BU26" s="14">
        <f t="shared" si="15"/>
        <v>0</v>
      </c>
      <c r="BV26" s="46">
        <f>BV25-BW26</f>
        <v>0</v>
      </c>
      <c r="BW26" s="46">
        <f t="shared" si="17"/>
        <v>0</v>
      </c>
    </row>
    <row r="27" spans="1:75" ht="14.5" x14ac:dyDescent="0.35">
      <c r="M27" s="20" t="s">
        <v>61</v>
      </c>
      <c r="N27" s="48">
        <f>N21*N22-N25-N26</f>
        <v>20</v>
      </c>
      <c r="R27" s="1" t="s">
        <v>62</v>
      </c>
      <c r="U27" s="43">
        <v>20</v>
      </c>
      <c r="V27" s="44">
        <f t="shared" si="22"/>
        <v>0</v>
      </c>
      <c r="W27" s="45">
        <f t="shared" si="0"/>
        <v>0</v>
      </c>
      <c r="X27" s="46">
        <f t="shared" si="1"/>
        <v>0</v>
      </c>
      <c r="Y27" s="46">
        <f t="shared" si="2"/>
        <v>0</v>
      </c>
      <c r="AE27" s="43">
        <v>20</v>
      </c>
      <c r="AF27" s="44" t="e">
        <f t="shared" si="18"/>
        <v>#VALUE!</v>
      </c>
      <c r="AG27" s="45" t="e">
        <f t="shared" si="3"/>
        <v>#VALUE!</v>
      </c>
      <c r="AH27" s="46" t="e">
        <f t="shared" si="4"/>
        <v>#VALUE!</v>
      </c>
      <c r="AI27" s="46" t="e">
        <f t="shared" si="5"/>
        <v>#VALUE!</v>
      </c>
      <c r="AO27" s="43">
        <v>20</v>
      </c>
      <c r="AP27" s="19" t="e">
        <f>AR26*(($AM$8))</f>
        <v>#VALUE!</v>
      </c>
      <c r="AQ27" s="14" t="e">
        <f t="shared" si="6"/>
        <v>#VALUE!</v>
      </c>
      <c r="AR27" s="46" t="e">
        <f>AR26-AS27</f>
        <v>#VALUE!</v>
      </c>
      <c r="AS27" s="46" t="e">
        <f t="shared" si="8"/>
        <v>#VALUE!</v>
      </c>
      <c r="AY27" s="43">
        <v>20</v>
      </c>
      <c r="AZ27" s="13" t="e">
        <f>BB26*(($AW$8))</f>
        <v>#VALUE!</v>
      </c>
      <c r="BA27" s="14" t="e">
        <f t="shared" si="9"/>
        <v>#VALUE!</v>
      </c>
      <c r="BB27" s="46" t="e">
        <f>BB26-BC27</f>
        <v>#VALUE!</v>
      </c>
      <c r="BC27" s="46" t="e">
        <f t="shared" si="11"/>
        <v>#VALUE!</v>
      </c>
      <c r="BI27" s="43">
        <v>20</v>
      </c>
      <c r="BJ27" s="13" t="e">
        <f t="shared" si="21"/>
        <v>#VALUE!</v>
      </c>
      <c r="BK27" s="14" t="e">
        <f t="shared" si="12"/>
        <v>#VALUE!</v>
      </c>
      <c r="BL27" s="46" t="e">
        <f>BL26-BM27</f>
        <v>#VALUE!</v>
      </c>
      <c r="BM27" s="46" t="e">
        <f t="shared" si="14"/>
        <v>#VALUE!</v>
      </c>
      <c r="BS27" s="43">
        <v>20</v>
      </c>
      <c r="BT27" s="13">
        <f t="shared" si="23"/>
        <v>0</v>
      </c>
      <c r="BU27" s="14">
        <f t="shared" si="15"/>
        <v>0</v>
      </c>
      <c r="BV27" s="46">
        <f>BV26-BW27</f>
        <v>0</v>
      </c>
      <c r="BW27" s="46">
        <f t="shared" si="17"/>
        <v>0</v>
      </c>
    </row>
    <row r="28" spans="1:75" ht="13" x14ac:dyDescent="0.25">
      <c r="M28" s="20" t="s">
        <v>63</v>
      </c>
      <c r="N28" s="49">
        <f>(1+N19)^-N25</f>
        <v>1</v>
      </c>
    </row>
    <row r="29" spans="1:75" ht="13" x14ac:dyDescent="0.25">
      <c r="B29" s="1" t="s">
        <v>30</v>
      </c>
      <c r="M29" s="20" t="s">
        <v>64</v>
      </c>
      <c r="N29" s="50">
        <f>(1+N19)^-N26</f>
        <v>1</v>
      </c>
    </row>
    <row r="30" spans="1:75" ht="13" x14ac:dyDescent="0.25">
      <c r="A30" s="1" t="s">
        <v>36</v>
      </c>
      <c r="B30" s="1">
        <f>IF(B13="","A",B13)</f>
        <v>0</v>
      </c>
      <c r="M30" s="51" t="s">
        <v>65</v>
      </c>
      <c r="N30" s="52">
        <f>N18*$N$11</f>
        <v>498.75621120889502</v>
      </c>
      <c r="T30" s="1" t="s">
        <v>66</v>
      </c>
      <c r="V30" s="15">
        <f>NPV(S7,V9:V27)</f>
        <v>0</v>
      </c>
      <c r="AD30" s="1" t="s">
        <v>66</v>
      </c>
      <c r="AF30" s="15" t="e">
        <f>NPV(AC7,AF9:AF27)</f>
        <v>#VALUE!</v>
      </c>
      <c r="AN30" s="1" t="s">
        <v>66</v>
      </c>
      <c r="AP30" s="15" t="e">
        <f>NPV(AM7,AP9:AP27)</f>
        <v>#VALUE!</v>
      </c>
      <c r="AX30" s="1" t="s">
        <v>66</v>
      </c>
      <c r="AZ30" s="15" t="e">
        <f>NPV(AW7,AZ9:AZ27)</f>
        <v>#VALUE!</v>
      </c>
      <c r="BH30" s="1" t="s">
        <v>66</v>
      </c>
      <c r="BJ30" s="15" t="e">
        <f>NPV(BG7,BJ9:BJ27)</f>
        <v>#VALUE!</v>
      </c>
      <c r="BR30" s="1" t="s">
        <v>66</v>
      </c>
      <c r="BT30" s="15">
        <f>NPV(BQ7,BT9:BT27)</f>
        <v>0</v>
      </c>
    </row>
    <row r="31" spans="1:75" ht="13" x14ac:dyDescent="0.25">
      <c r="A31" s="1" t="s">
        <v>38</v>
      </c>
      <c r="B31" s="1" t="str">
        <f t="shared" ref="B31:B34" si="31">IF(B14="","A",B14)</f>
        <v>A</v>
      </c>
      <c r="M31" s="51" t="s">
        <v>67</v>
      </c>
      <c r="N31" s="52">
        <f>PMT(N18,N27,-N11)</f>
        <v>5265.9716472230511</v>
      </c>
    </row>
    <row r="32" spans="1:75" ht="13" x14ac:dyDescent="0.25">
      <c r="A32" s="1" t="s">
        <v>41</v>
      </c>
      <c r="B32" s="1" t="str">
        <f t="shared" si="31"/>
        <v>A</v>
      </c>
      <c r="M32" s="20" t="s">
        <v>68</v>
      </c>
      <c r="N32" s="49">
        <f>PV(N19,N27,-1)</f>
        <v>18.989847781032623</v>
      </c>
      <c r="T32" s="1" t="s">
        <v>69</v>
      </c>
      <c r="V32" s="15">
        <f>PV(F13,1,V30)</f>
        <v>0</v>
      </c>
      <c r="AD32" s="1" t="s">
        <v>69</v>
      </c>
      <c r="AF32" s="15" t="e">
        <f>PV(F14,1,AF30)</f>
        <v>#VALUE!</v>
      </c>
      <c r="AN32" s="1" t="s">
        <v>69</v>
      </c>
      <c r="AP32" s="15" t="e">
        <f>PV(F15,1,AP30)</f>
        <v>#VALUE!</v>
      </c>
      <c r="AX32" s="1" t="s">
        <v>69</v>
      </c>
      <c r="AZ32" s="15" t="e">
        <f>PV(F16,1,AZ30)</f>
        <v>#VALUE!</v>
      </c>
      <c r="BH32" s="1" t="s">
        <v>69</v>
      </c>
      <c r="BJ32" s="15" t="e">
        <f>PV(F17,1,BJ30)</f>
        <v>#VALUE!</v>
      </c>
      <c r="BR32" s="1" t="s">
        <v>69</v>
      </c>
      <c r="BT32" s="15">
        <f>PV(F18,1,BT30)</f>
        <v>0</v>
      </c>
    </row>
    <row r="33" spans="1:73" ht="13.5" thickBot="1" x14ac:dyDescent="0.3">
      <c r="A33" s="1" t="s">
        <v>43</v>
      </c>
      <c r="B33" s="1" t="str">
        <f>IF(B16="","A",B16)</f>
        <v>A</v>
      </c>
      <c r="M33" s="20" t="s">
        <v>70</v>
      </c>
      <c r="N33" s="53">
        <f>PV(N19,N25,-1)</f>
        <v>0</v>
      </c>
    </row>
    <row r="34" spans="1:73" ht="16.5" thickTop="1" thickBot="1" x14ac:dyDescent="0.3">
      <c r="A34" s="1" t="s">
        <v>45</v>
      </c>
      <c r="B34" s="1" t="str">
        <f t="shared" si="31"/>
        <v>A</v>
      </c>
      <c r="M34" s="54" t="s">
        <v>71</v>
      </c>
      <c r="N34" s="55" t="e">
        <f>((N18/(N19-N18)*(N11-N31*N32))*N28+N30*N33)*N29</f>
        <v>#DIV/0!</v>
      </c>
      <c r="O34" s="56" t="e">
        <f>((N18/(N19-N18)*(N11-N31*N32)))</f>
        <v>#DIV/0!</v>
      </c>
      <c r="P34" s="57"/>
      <c r="T34" s="1" t="s">
        <v>72</v>
      </c>
      <c r="V34" s="15">
        <f>PV(F13,1,V8)</f>
        <v>0</v>
      </c>
      <c r="W34" s="58"/>
      <c r="AD34" s="1" t="s">
        <v>72</v>
      </c>
      <c r="AF34" s="15" t="e">
        <f>PV(F14,1,AF8)</f>
        <v>#VALUE!</v>
      </c>
      <c r="AG34" s="58"/>
      <c r="AN34" s="1" t="s">
        <v>72</v>
      </c>
      <c r="AP34" s="15" t="e">
        <f>PV(F15,1,AP8)</f>
        <v>#VALUE!</v>
      </c>
      <c r="AQ34" s="58"/>
      <c r="AX34" s="1" t="s">
        <v>72</v>
      </c>
      <c r="AZ34" s="15" t="e">
        <f>PV(F16,1,AZ8)</f>
        <v>#VALUE!</v>
      </c>
      <c r="BA34" s="58"/>
      <c r="BH34" s="1" t="s">
        <v>72</v>
      </c>
      <c r="BJ34" s="15" t="e">
        <f>PV(F17,1,BJ8)</f>
        <v>#VALUE!</v>
      </c>
      <c r="BK34" s="58"/>
      <c r="BR34" s="1" t="s">
        <v>72</v>
      </c>
      <c r="BT34" s="15">
        <f>PV(F18,1,BT8)</f>
        <v>0</v>
      </c>
      <c r="BU34" s="58"/>
    </row>
    <row r="35" spans="1:73" ht="13.5" thickTop="1" x14ac:dyDescent="0.25">
      <c r="A35" s="1" t="s">
        <v>48</v>
      </c>
      <c r="B35" s="1" t="str">
        <f>IF(B18="","A",B18)</f>
        <v>A</v>
      </c>
      <c r="M35" s="20"/>
      <c r="N35" s="20"/>
      <c r="O35" s="59" t="e">
        <f>O34*N28</f>
        <v>#DIV/0!</v>
      </c>
      <c r="Q35" s="1">
        <f>+N30*N33</f>
        <v>0</v>
      </c>
    </row>
    <row r="36" spans="1:73" ht="13" x14ac:dyDescent="0.25">
      <c r="B36" s="23"/>
      <c r="M36" s="41" t="s">
        <v>73</v>
      </c>
      <c r="N36" s="42" t="str">
        <f>$M$40</f>
        <v>vp = (1+iATT)-p</v>
      </c>
      <c r="O36" s="60" t="e">
        <f>O35+Q35</f>
        <v>#DIV/0!</v>
      </c>
      <c r="S36" s="56"/>
      <c r="T36" s="1" t="s">
        <v>74</v>
      </c>
      <c r="V36" s="58">
        <f>V32+V34</f>
        <v>0</v>
      </c>
      <c r="AC36" s="56"/>
      <c r="AD36" s="1" t="s">
        <v>74</v>
      </c>
      <c r="AF36" s="58" t="e">
        <f>AF32+AF34</f>
        <v>#VALUE!</v>
      </c>
      <c r="AM36" s="56"/>
      <c r="AN36" s="1" t="s">
        <v>74</v>
      </c>
      <c r="AP36" s="58" t="e">
        <f>AP32+AP34</f>
        <v>#VALUE!</v>
      </c>
      <c r="AW36" s="56"/>
      <c r="AX36" s="1" t="s">
        <v>74</v>
      </c>
      <c r="AZ36" s="58" t="e">
        <f>AZ32+AZ34</f>
        <v>#VALUE!</v>
      </c>
      <c r="BG36" s="56"/>
      <c r="BH36" s="1" t="s">
        <v>74</v>
      </c>
      <c r="BJ36" s="58" t="e">
        <f>BJ32+BJ34</f>
        <v>#VALUE!</v>
      </c>
      <c r="BQ36" s="56"/>
      <c r="BR36" s="1" t="s">
        <v>74</v>
      </c>
      <c r="BT36" s="58">
        <f>BT32+BT34</f>
        <v>0</v>
      </c>
    </row>
    <row r="37" spans="1:73" ht="13" x14ac:dyDescent="0.25">
      <c r="M37" s="20" t="s">
        <v>57</v>
      </c>
      <c r="N37" s="36">
        <f>IF(N17*N22-1*N22&gt;0,$N17*N22-1*N22,0)</f>
        <v>0</v>
      </c>
      <c r="V37" s="58"/>
      <c r="AF37" s="58"/>
      <c r="AP37" s="58"/>
      <c r="AZ37" s="58"/>
      <c r="BJ37" s="58"/>
      <c r="BT37" s="58"/>
    </row>
    <row r="38" spans="1:73" ht="15.5" x14ac:dyDescent="0.35">
      <c r="C38" s="61" t="s">
        <v>75</v>
      </c>
      <c r="D38" s="1" t="s">
        <v>76</v>
      </c>
      <c r="E38" s="1" t="s">
        <v>77</v>
      </c>
      <c r="F38" s="1" t="s">
        <v>78</v>
      </c>
      <c r="G38" s="1" t="s">
        <v>79</v>
      </c>
      <c r="H38" s="164" t="s">
        <v>161</v>
      </c>
      <c r="I38" s="164" t="s">
        <v>162</v>
      </c>
      <c r="M38" s="20" t="s">
        <v>60</v>
      </c>
      <c r="N38" s="36">
        <f>(O9-N9)*N22</f>
        <v>2</v>
      </c>
      <c r="S38" s="59"/>
      <c r="T38" s="1" t="s">
        <v>80</v>
      </c>
      <c r="V38" s="62">
        <f>NPV(S22,V36)</f>
        <v>0</v>
      </c>
      <c r="AC38" s="59"/>
      <c r="AD38" s="1" t="s">
        <v>80</v>
      </c>
      <c r="AF38" s="62" t="e">
        <f>NPV(AC22,AF36)</f>
        <v>#VALUE!</v>
      </c>
      <c r="AM38" s="59"/>
      <c r="AN38" s="1" t="s">
        <v>80</v>
      </c>
      <c r="AP38" s="62" t="e">
        <f>NPV(AM22,AP36)</f>
        <v>#VALUE!</v>
      </c>
      <c r="AW38" s="59"/>
      <c r="AX38" s="1" t="s">
        <v>80</v>
      </c>
      <c r="AZ38" s="62" t="e">
        <f>NPV(AW22,AZ36)</f>
        <v>#VALUE!</v>
      </c>
      <c r="BG38" s="59"/>
      <c r="BH38" s="1" t="s">
        <v>80</v>
      </c>
      <c r="BJ38" s="62" t="e">
        <f>NPV(BG22,BJ36)</f>
        <v>#VALUE!</v>
      </c>
      <c r="BQ38" s="59"/>
      <c r="BR38" s="1" t="s">
        <v>80</v>
      </c>
      <c r="BT38" s="62">
        <f>NPV(BQ22,BT36)</f>
        <v>0</v>
      </c>
    </row>
    <row r="39" spans="1:73" ht="15.5" x14ac:dyDescent="0.35">
      <c r="A39" s="61" t="s">
        <v>81</v>
      </c>
      <c r="B39" s="23">
        <f>MAX(B13:B18)</f>
        <v>0</v>
      </c>
      <c r="C39" s="37">
        <f>EDATE(B39,6)</f>
        <v>182</v>
      </c>
      <c r="D39" s="23">
        <f>DATE(G39,F39,E39)</f>
        <v>152</v>
      </c>
      <c r="E39" s="1">
        <f>DAY(C23)</f>
        <v>31</v>
      </c>
      <c r="F39" s="1">
        <f>MONTH(C23)</f>
        <v>5</v>
      </c>
      <c r="G39" s="1">
        <f>YEAR(B39)</f>
        <v>1900</v>
      </c>
      <c r="H39" s="165">
        <f>+D39-$B$39</f>
        <v>152</v>
      </c>
      <c r="I39" s="166">
        <f>+IF(H39&lt;0,D40+365,D41)</f>
        <v>517</v>
      </c>
      <c r="M39" s="20" t="s">
        <v>61</v>
      </c>
      <c r="N39" s="63">
        <f>$N21*$N$22-N37-N38</f>
        <v>18</v>
      </c>
      <c r="V39" s="58"/>
      <c r="AF39" s="58"/>
      <c r="AP39" s="58"/>
      <c r="AZ39" s="58"/>
      <c r="BJ39" s="58"/>
      <c r="BT39" s="58"/>
    </row>
    <row r="40" spans="1:73" ht="15.5" x14ac:dyDescent="0.35">
      <c r="A40" s="61" t="s">
        <v>82</v>
      </c>
      <c r="B40" s="40">
        <f>MIN(B30:B36)</f>
        <v>0</v>
      </c>
      <c r="D40" s="23">
        <f>DATE(G40,F40,E40)</f>
        <v>335</v>
      </c>
      <c r="E40" s="1">
        <f>DAY(C24)</f>
        <v>30</v>
      </c>
      <c r="F40" s="1">
        <f>MONTH(C24)</f>
        <v>11</v>
      </c>
      <c r="G40" s="1">
        <f>YEAR(B39)</f>
        <v>1900</v>
      </c>
      <c r="H40" s="165">
        <f t="shared" ref="H40:H41" si="32">+D40-$B$39</f>
        <v>335</v>
      </c>
      <c r="I40" s="167"/>
      <c r="M40" s="20" t="s">
        <v>63</v>
      </c>
      <c r="N40" s="64">
        <f>(1+N19)^-N37</f>
        <v>1</v>
      </c>
      <c r="S40" s="65"/>
      <c r="T40" s="1" t="s">
        <v>83</v>
      </c>
      <c r="V40" s="58">
        <f>PV(S7,S25,S24)</f>
        <v>0</v>
      </c>
      <c r="AC40" s="65"/>
      <c r="AD40" s="1" t="s">
        <v>83</v>
      </c>
      <c r="AF40" s="58" t="e">
        <f>PV(AC7,AC25,AC24)</f>
        <v>#VALUE!</v>
      </c>
      <c r="AM40" s="65"/>
      <c r="AN40" s="1" t="s">
        <v>83</v>
      </c>
      <c r="AP40" s="58" t="e">
        <f>PV(AM7,AM25,AM24)</f>
        <v>#VALUE!</v>
      </c>
      <c r="AW40" s="65"/>
      <c r="AX40" s="1" t="s">
        <v>83</v>
      </c>
      <c r="AZ40" s="58" t="e">
        <f>PV(AW7,AW25,AW24)</f>
        <v>#VALUE!</v>
      </c>
      <c r="BG40" s="65"/>
      <c r="BH40" s="1" t="s">
        <v>83</v>
      </c>
      <c r="BJ40" s="58" t="e">
        <f>PV(BG7,BG25,BG24)</f>
        <v>#VALUE!</v>
      </c>
      <c r="BQ40" s="65"/>
      <c r="BR40" s="1" t="s">
        <v>83</v>
      </c>
      <c r="BT40" s="58">
        <f>PV(BQ7,BQ25,BQ24)</f>
        <v>0</v>
      </c>
    </row>
    <row r="41" spans="1:73" ht="13" x14ac:dyDescent="0.25">
      <c r="D41" s="23">
        <f>DATE(G41,F41,E41)</f>
        <v>517</v>
      </c>
      <c r="E41" s="1">
        <f>E39</f>
        <v>31</v>
      </c>
      <c r="F41" s="1">
        <f>F39</f>
        <v>5</v>
      </c>
      <c r="G41" s="1">
        <f>G39+1</f>
        <v>1901</v>
      </c>
      <c r="H41" s="165">
        <f t="shared" si="32"/>
        <v>517</v>
      </c>
      <c r="I41" s="166"/>
      <c r="M41" s="20" t="s">
        <v>64</v>
      </c>
      <c r="N41" s="64">
        <f>(1+N19)^-N38</f>
        <v>0.99009900990099031</v>
      </c>
    </row>
    <row r="42" spans="1:73" ht="13" x14ac:dyDescent="0.25">
      <c r="C42" s="1" t="s">
        <v>153</v>
      </c>
      <c r="M42" s="51" t="s">
        <v>84</v>
      </c>
      <c r="N42" s="66">
        <f>N18*O11</f>
        <v>0</v>
      </c>
      <c r="S42" s="67"/>
      <c r="T42" s="1" t="s">
        <v>85</v>
      </c>
      <c r="V42" s="1">
        <f>(1+S7)^(-H13)</f>
        <v>1</v>
      </c>
      <c r="AC42" s="67"/>
      <c r="AD42" s="1" t="s">
        <v>85</v>
      </c>
      <c r="AF42" s="1" t="e">
        <f>(1+AC7)^(-H14)</f>
        <v>#VALUE!</v>
      </c>
      <c r="AM42" s="67"/>
      <c r="AN42" s="1" t="s">
        <v>85</v>
      </c>
      <c r="AP42" s="1" t="e">
        <f>(1+AM7)^(-H15)</f>
        <v>#VALUE!</v>
      </c>
      <c r="AW42" s="67"/>
      <c r="AX42" s="1" t="s">
        <v>85</v>
      </c>
      <c r="AZ42" s="1" t="e">
        <f>(1+AW7)^(-H16)</f>
        <v>#VALUE!</v>
      </c>
      <c r="BG42" s="67"/>
      <c r="BH42" s="1" t="s">
        <v>85</v>
      </c>
      <c r="BJ42" s="1" t="e">
        <f>(1+BG7)^(-H17)</f>
        <v>#VALUE!</v>
      </c>
      <c r="BQ42" s="67"/>
      <c r="BR42" s="1" t="s">
        <v>85</v>
      </c>
      <c r="BT42" s="1">
        <f>(1+BQ7)^(-H18)</f>
        <v>1</v>
      </c>
    </row>
    <row r="43" spans="1:73" ht="13" x14ac:dyDescent="0.25">
      <c r="C43" s="23">
        <f>IF(B39&lt;D39,D39,IF(B39&gt;D40,D41,D40))</f>
        <v>152</v>
      </c>
      <c r="M43" s="51" t="s">
        <v>67</v>
      </c>
      <c r="N43" s="66">
        <f>PMT(N18,N39,-O11)</f>
        <v>0</v>
      </c>
    </row>
    <row r="44" spans="1:73" ht="13" x14ac:dyDescent="0.25">
      <c r="M44" s="20" t="s">
        <v>68</v>
      </c>
      <c r="N44" s="68">
        <f>PV(N19,N39,-1)</f>
        <v>17.174758696730894</v>
      </c>
      <c r="T44" s="4" t="s">
        <v>86</v>
      </c>
      <c r="V44" s="69">
        <f>IFERROR(((V38+V40)*V42),0)</f>
        <v>0</v>
      </c>
      <c r="W44" s="70" t="e">
        <f>V44+N34</f>
        <v>#DIV/0!</v>
      </c>
      <c r="AD44" s="4" t="s">
        <v>86</v>
      </c>
      <c r="AF44" s="69">
        <f>IFERROR((AF38+AF40)*AF42,0)</f>
        <v>0</v>
      </c>
      <c r="AG44" s="70" t="e">
        <f>AF44+$N$34</f>
        <v>#DIV/0!</v>
      </c>
      <c r="AN44" s="4" t="s">
        <v>86</v>
      </c>
      <c r="AP44" s="69">
        <f>IFERROR((AP38+AP40)*AP42,0)</f>
        <v>0</v>
      </c>
      <c r="AQ44" s="70" t="e">
        <f>AP44+$N$34</f>
        <v>#DIV/0!</v>
      </c>
      <c r="AX44" s="4" t="s">
        <v>86</v>
      </c>
      <c r="AZ44" s="69">
        <f>IFERROR((AZ38+AZ40)*AZ42,0)</f>
        <v>0</v>
      </c>
      <c r="BA44" s="70" t="e">
        <f>AZ44+$N$34</f>
        <v>#DIV/0!</v>
      </c>
      <c r="BH44" s="4" t="s">
        <v>86</v>
      </c>
      <c r="BJ44" s="69">
        <f>IFERROR((BJ38+BJ40)*BJ42,0)</f>
        <v>0</v>
      </c>
      <c r="BK44" s="70" t="e">
        <f>BJ44+$N$34</f>
        <v>#DIV/0!</v>
      </c>
      <c r="BR44" s="4" t="s">
        <v>86</v>
      </c>
      <c r="BT44" s="69">
        <f>IFERROR((BT38+BT40)*BT42,0)</f>
        <v>0</v>
      </c>
      <c r="BU44" s="70" t="e">
        <f>BT44+$N$34</f>
        <v>#DIV/0!</v>
      </c>
    </row>
    <row r="45" spans="1:73" ht="13.5" thickBot="1" x14ac:dyDescent="0.3">
      <c r="M45" s="20" t="s">
        <v>70</v>
      </c>
      <c r="N45" s="71">
        <f>PV(N19,N37,-1)</f>
        <v>0</v>
      </c>
    </row>
    <row r="46" spans="1:73" ht="16.5" thickTop="1" thickBot="1" x14ac:dyDescent="0.3">
      <c r="M46" s="54" t="s">
        <v>71</v>
      </c>
      <c r="N46" s="72" t="e">
        <f>IF(N39&lt;=0,0,((N18/(N19-N18)*(O11-N43*N44))*N40+N42*N45)*N41)</f>
        <v>#DIV/0!</v>
      </c>
    </row>
    <row r="47" spans="1:73" ht="13" thickTop="1" x14ac:dyDescent="0.25"/>
    <row r="51" spans="21:23" x14ac:dyDescent="0.25">
      <c r="U51" s="1">
        <f>60/365</f>
        <v>0.16438356164383561</v>
      </c>
      <c r="W51" s="11">
        <f>S6/W55</f>
        <v>0</v>
      </c>
    </row>
    <row r="53" spans="21:23" x14ac:dyDescent="0.25">
      <c r="U53" s="1">
        <f>1/U51</f>
        <v>6.0833333333333339</v>
      </c>
    </row>
    <row r="54" spans="21:23" x14ac:dyDescent="0.25">
      <c r="W54" s="1">
        <f>(1-((1+S8)^(-19-U51)))</f>
        <v>9.0941634611448441E-2</v>
      </c>
    </row>
    <row r="55" spans="21:23" x14ac:dyDescent="0.25">
      <c r="U55" s="1">
        <f>60*U53</f>
        <v>365.00000000000006</v>
      </c>
      <c r="W55" s="1">
        <f>W54/S8</f>
        <v>18.233684627409918</v>
      </c>
    </row>
  </sheetData>
  <mergeCells count="8">
    <mergeCell ref="A1:C1"/>
    <mergeCell ref="BI3:BM3"/>
    <mergeCell ref="BS3:BW3"/>
    <mergeCell ref="N8:O8"/>
    <mergeCell ref="U3:Y3"/>
    <mergeCell ref="AE3:AI3"/>
    <mergeCell ref="AO3:AS3"/>
    <mergeCell ref="AY3:BC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
    <pageSetUpPr fitToPage="1"/>
  </sheetPr>
  <dimension ref="A1:P47"/>
  <sheetViews>
    <sheetView showGridLines="0" showRowColHeaders="0" tabSelected="1" zoomScale="70" zoomScaleNormal="70" workbookViewId="0">
      <selection activeCell="A22" sqref="A22"/>
    </sheetView>
  </sheetViews>
  <sheetFormatPr defaultColWidth="0" defaultRowHeight="14.5" zeroHeight="1" x14ac:dyDescent="0.35"/>
  <cols>
    <col min="1" max="1" width="40.81640625" style="175" customWidth="1"/>
    <col min="2" max="2" width="45.81640625" style="175" customWidth="1"/>
    <col min="3" max="3" width="30.81640625" style="175" customWidth="1"/>
    <col min="4" max="4" width="29.81640625" style="175" bestFit="1" customWidth="1"/>
    <col min="5" max="5" width="15.6328125" hidden="1" customWidth="1"/>
    <col min="6" max="6" width="18.81640625" hidden="1" customWidth="1"/>
    <col min="7" max="7" width="17.453125" hidden="1" customWidth="1"/>
    <col min="8" max="8" width="15.08984375" hidden="1" customWidth="1"/>
    <col min="9" max="9" width="19.36328125" hidden="1" customWidth="1"/>
    <col min="10" max="10" width="15" hidden="1" customWidth="1"/>
    <col min="11" max="11" width="15.08984375" hidden="1" customWidth="1"/>
    <col min="12" max="12" width="14.1796875" hidden="1" customWidth="1"/>
    <col min="13" max="13" width="17.81640625" hidden="1" customWidth="1"/>
    <col min="14" max="14" width="19.7265625" hidden="1" customWidth="1"/>
    <col min="15" max="15" width="36" hidden="1" customWidth="1"/>
    <col min="16" max="16" width="10.453125" hidden="1" customWidth="1"/>
  </cols>
  <sheetData>
    <row r="1" spans="1:15" ht="222" customHeight="1" thickBot="1" x14ac:dyDescent="0.4">
      <c r="A1" s="159" t="s">
        <v>157</v>
      </c>
      <c r="B1"/>
      <c r="C1"/>
      <c r="D1"/>
    </row>
    <row r="2" spans="1:15" ht="7.5" customHeight="1" x14ac:dyDescent="0.35">
      <c r="A2"/>
      <c r="B2"/>
      <c r="C2"/>
      <c r="D2"/>
    </row>
    <row r="3" spans="1:15" ht="5.25" customHeight="1" thickBot="1" x14ac:dyDescent="0.4">
      <c r="A3"/>
      <c r="B3"/>
      <c r="C3"/>
      <c r="D3"/>
    </row>
    <row r="4" spans="1:15" ht="37" customHeight="1" thickBot="1" x14ac:dyDescent="0.4">
      <c r="A4"/>
      <c r="B4" s="91" t="s">
        <v>101</v>
      </c>
      <c r="C4" s="96"/>
      <c r="D4"/>
      <c r="E4">
        <f>IF(C4="SI",10000000,0)</f>
        <v>0</v>
      </c>
    </row>
    <row r="5" spans="1:15" x14ac:dyDescent="0.35">
      <c r="A5"/>
      <c r="B5"/>
      <c r="C5"/>
      <c r="D5"/>
    </row>
    <row r="6" spans="1:15" ht="15" thickBot="1" x14ac:dyDescent="0.4">
      <c r="A6"/>
      <c r="B6"/>
      <c r="C6"/>
      <c r="D6"/>
    </row>
    <row r="7" spans="1:15" ht="69.650000000000006" customHeight="1" thickBot="1" x14ac:dyDescent="0.4">
      <c r="A7"/>
      <c r="B7" s="83" t="s">
        <v>96</v>
      </c>
      <c r="C7" s="87" t="s">
        <v>97</v>
      </c>
      <c r="D7" s="91" t="s">
        <v>98</v>
      </c>
      <c r="E7" t="s">
        <v>102</v>
      </c>
      <c r="N7" t="s">
        <v>108</v>
      </c>
    </row>
    <row r="8" spans="1:15" ht="22" customHeight="1" x14ac:dyDescent="0.35">
      <c r="A8"/>
      <c r="B8" s="84" t="s">
        <v>103</v>
      </c>
      <c r="C8" s="88"/>
      <c r="D8" s="92">
        <f ca="1">IF(C8&gt;$D$12*E8,$D$12*E8,C8)</f>
        <v>0</v>
      </c>
      <c r="E8">
        <f>IF(C4="SI",0.4,0)</f>
        <v>0</v>
      </c>
      <c r="F8" s="100" t="s">
        <v>106</v>
      </c>
      <c r="G8" s="99">
        <f>IF(+C12&gt;O8,"N.D.",D10+D11)</f>
        <v>0</v>
      </c>
      <c r="I8" t="s">
        <v>160</v>
      </c>
      <c r="N8" t="s">
        <v>109</v>
      </c>
      <c r="O8" s="101">
        <v>3000000</v>
      </c>
    </row>
    <row r="9" spans="1:15" ht="22" customHeight="1" x14ac:dyDescent="0.35">
      <c r="A9"/>
      <c r="B9" s="85" t="s">
        <v>104</v>
      </c>
      <c r="C9" s="89"/>
      <c r="D9" s="92">
        <f ca="1">IF(C9&gt;$D$12*E9,$D$12*E9,C9)</f>
        <v>0</v>
      </c>
      <c r="E9">
        <v>0.3</v>
      </c>
      <c r="F9" t="s">
        <v>107</v>
      </c>
      <c r="G9" s="99">
        <f ca="1">IF(+C12&gt;O8,"ATTENZIONE: Le spese d'investimento e di gestione ipotizzate superano il limite di € 3.000.000 stabilito dalla …",D12)</f>
        <v>0</v>
      </c>
      <c r="N9" t="s">
        <v>110</v>
      </c>
      <c r="O9">
        <v>0.9</v>
      </c>
    </row>
    <row r="10" spans="1:15" ht="22" customHeight="1" x14ac:dyDescent="0.35">
      <c r="A10"/>
      <c r="B10" s="85" t="s">
        <v>99</v>
      </c>
      <c r="C10" s="89"/>
      <c r="D10" s="92">
        <f>C10</f>
        <v>0</v>
      </c>
      <c r="N10" t="s">
        <v>111</v>
      </c>
      <c r="O10">
        <v>0.15</v>
      </c>
    </row>
    <row r="11" spans="1:15" ht="22" customHeight="1" thickBot="1" x14ac:dyDescent="0.4">
      <c r="A11"/>
      <c r="B11" s="97" t="s">
        <v>105</v>
      </c>
      <c r="C11" s="98"/>
      <c r="D11" s="93">
        <f>C11</f>
        <v>0</v>
      </c>
      <c r="N11" t="s">
        <v>112</v>
      </c>
      <c r="O11">
        <v>0.9</v>
      </c>
    </row>
    <row r="12" spans="1:15" ht="15" thickTop="1" x14ac:dyDescent="0.35">
      <c r="A12"/>
      <c r="B12" s="86" t="s">
        <v>100</v>
      </c>
      <c r="C12" s="90">
        <f>SUM(C8:C11)</f>
        <v>0</v>
      </c>
      <c r="D12" s="94">
        <f ca="1">SUM(D8:D11)</f>
        <v>0</v>
      </c>
      <c r="N12" t="s">
        <v>93</v>
      </c>
      <c r="O12">
        <v>0.2</v>
      </c>
    </row>
    <row r="13" spans="1:15" ht="13.5" customHeight="1" x14ac:dyDescent="0.35">
      <c r="A13"/>
      <c r="B13" s="106"/>
      <c r="C13" s="107"/>
      <c r="D13" s="108"/>
    </row>
    <row r="14" spans="1:15" ht="20.5" customHeight="1" x14ac:dyDescent="0.35">
      <c r="A14"/>
      <c r="B14" s="176" t="str">
        <f>IF(+C12&gt;O8,"ATTENZIONE: Le spese d'investimento e di gestione ipotizzate superano il limite di € 3.000.000 stabilito dalla Circolare 08 aprile 2021, n. 117378","")</f>
        <v/>
      </c>
      <c r="C14" s="176"/>
      <c r="D14" s="176"/>
      <c r="E14" t="s">
        <v>159</v>
      </c>
      <c r="G14" s="156"/>
    </row>
    <row r="15" spans="1:15" ht="8.25" customHeight="1" x14ac:dyDescent="0.35">
      <c r="A15"/>
      <c r="B15" s="112"/>
      <c r="C15" s="112"/>
      <c r="D15" s="112"/>
      <c r="G15" s="156"/>
    </row>
    <row r="16" spans="1:15" ht="31.5" customHeight="1" thickBot="1" x14ac:dyDescent="0.4">
      <c r="A16"/>
      <c r="B16" s="177" t="s">
        <v>155</v>
      </c>
      <c r="C16" s="178"/>
      <c r="D16" s="108"/>
      <c r="E16" s="162">
        <f ca="1">IF(AND(D8&gt;0,E18&lt;7),0.0075,0)</f>
        <v>0</v>
      </c>
      <c r="F16" s="162">
        <f ca="1">IF(AND(D8=0,SUM(C35:C38)&gt;=250000),0.01,0)</f>
        <v>0</v>
      </c>
      <c r="G16" s="162">
        <f ca="1">IF((SUM(C35:C38)&lt;250000),0.022,0)</f>
        <v>2.1999999999999999E-2</v>
      </c>
    </row>
    <row r="17" spans="2:16" customFormat="1" ht="27" customHeight="1" thickBot="1" x14ac:dyDescent="0.4">
      <c r="B17" s="91" t="s">
        <v>10</v>
      </c>
      <c r="C17" s="135"/>
      <c r="E17" s="163">
        <f ca="1">MAX(E16:G16)</f>
        <v>2.1999999999999999E-2</v>
      </c>
      <c r="G17" s="156"/>
      <c r="N17" t="s">
        <v>127</v>
      </c>
      <c r="O17">
        <v>5</v>
      </c>
    </row>
    <row r="18" spans="2:16" customFormat="1" ht="12.75" customHeight="1" x14ac:dyDescent="0.35">
      <c r="G18" s="156"/>
    </row>
    <row r="19" spans="2:16" customFormat="1" ht="15" thickBot="1" x14ac:dyDescent="0.4">
      <c r="G19" s="157"/>
    </row>
    <row r="20" spans="2:16" customFormat="1" ht="38.15" customHeight="1" thickBot="1" x14ac:dyDescent="0.4">
      <c r="B20" s="184" t="s">
        <v>122</v>
      </c>
      <c r="C20" s="185"/>
      <c r="D20" s="186"/>
      <c r="G20" s="156"/>
    </row>
    <row r="21" spans="2:16" customFormat="1" ht="29.5" thickBot="1" x14ac:dyDescent="0.4">
      <c r="B21" s="136" t="s">
        <v>123</v>
      </c>
      <c r="C21" s="136" t="s">
        <v>124</v>
      </c>
      <c r="D21" s="136" t="s">
        <v>125</v>
      </c>
      <c r="G21" s="157"/>
      <c r="H21" s="95" t="s">
        <v>131</v>
      </c>
      <c r="I21" s="95" t="s">
        <v>132</v>
      </c>
      <c r="J21" s="95" t="s">
        <v>128</v>
      </c>
      <c r="K21" s="95" t="s">
        <v>129</v>
      </c>
      <c r="L21" s="95" t="s">
        <v>130</v>
      </c>
    </row>
    <row r="22" spans="2:16" customFormat="1" ht="18" customHeight="1" x14ac:dyDescent="0.35">
      <c r="B22" s="181" t="s">
        <v>117</v>
      </c>
      <c r="C22" s="137" t="s">
        <v>113</v>
      </c>
      <c r="D22" s="102"/>
      <c r="F22" s="111" t="str">
        <f>IF(D22&lt;&gt;0,43831,"A")</f>
        <v>A</v>
      </c>
      <c r="G22" s="109">
        <f>D22</f>
        <v>0</v>
      </c>
      <c r="H22" s="113">
        <f>MIN(F22:F29)</f>
        <v>0</v>
      </c>
      <c r="I22" s="114">
        <f>IFERROR(VLOOKUP(H22,$F$22:$G$29,2),0)</f>
        <v>0</v>
      </c>
      <c r="J22" s="115">
        <f>$G$8*$O$10*I22</f>
        <v>0</v>
      </c>
      <c r="K22" s="115">
        <f ca="1">$G$9*$O$9*I22</f>
        <v>0</v>
      </c>
      <c r="L22" s="116">
        <f ca="1">$G$9*I22</f>
        <v>0</v>
      </c>
    </row>
    <row r="23" spans="2:16" customFormat="1" ht="18" customHeight="1" x14ac:dyDescent="0.35">
      <c r="B23" s="182"/>
      <c r="C23" s="138" t="s">
        <v>114</v>
      </c>
      <c r="D23" s="103"/>
      <c r="F23" s="111" t="str">
        <f>IF(D23&lt;&gt;0,43922,"A")</f>
        <v>A</v>
      </c>
      <c r="G23" s="109">
        <f t="shared" ref="G23:G29" si="0">D23</f>
        <v>0</v>
      </c>
      <c r="H23" s="117" t="str">
        <f>IFERROR(SMALL(F22:F29,2),"")</f>
        <v/>
      </c>
      <c r="I23" s="118">
        <f>IFERROR(VLOOKUP(H23,$F$22:$G$29,2),0)</f>
        <v>0</v>
      </c>
      <c r="J23" s="119">
        <f>$G$8*$O$10*I23</f>
        <v>0</v>
      </c>
      <c r="K23" s="119">
        <f ca="1">$G$9*$O$9*I23</f>
        <v>0</v>
      </c>
      <c r="L23" s="120">
        <f ca="1">$G$9*I23</f>
        <v>0</v>
      </c>
    </row>
    <row r="24" spans="2:16" customFormat="1" ht="18" customHeight="1" x14ac:dyDescent="0.35">
      <c r="B24" s="182"/>
      <c r="C24" s="138" t="s">
        <v>115</v>
      </c>
      <c r="D24" s="103"/>
      <c r="F24" s="111" t="str">
        <f>IF(D24&lt;&gt;0,44013,"A")</f>
        <v>A</v>
      </c>
      <c r="G24" s="109">
        <f t="shared" si="0"/>
        <v>0</v>
      </c>
      <c r="H24" s="117" t="str">
        <f>IFERROR(SMALL(F22:F29,3),"")</f>
        <v/>
      </c>
      <c r="I24" s="118">
        <f>IFERROR(VLOOKUP(H24,$F$22:$G$29,2),0)</f>
        <v>0</v>
      </c>
      <c r="J24" s="119">
        <f>$G$8*$O$10*I24</f>
        <v>0</v>
      </c>
      <c r="K24" s="119">
        <f ca="1">$G$9*$O$9*I24</f>
        <v>0</v>
      </c>
      <c r="L24" s="120">
        <f ca="1">$G$9*I24</f>
        <v>0</v>
      </c>
    </row>
    <row r="25" spans="2:16" customFormat="1" ht="18" customHeight="1" thickBot="1" x14ac:dyDescent="0.4">
      <c r="B25" s="183"/>
      <c r="C25" s="139" t="s">
        <v>116</v>
      </c>
      <c r="D25" s="104"/>
      <c r="F25" s="111" t="str">
        <f>IF(D25&lt;&gt;0,44105,"A")</f>
        <v>A</v>
      </c>
      <c r="G25" s="109">
        <f t="shared" si="0"/>
        <v>0</v>
      </c>
      <c r="H25" s="117" t="str">
        <f>IFERROR(SMALL(F22:F29,4),"")</f>
        <v/>
      </c>
      <c r="I25" s="118">
        <f>IFERROR(VLOOKUP(H25,$F$22:$G$29,2),0)</f>
        <v>0</v>
      </c>
      <c r="J25" s="119">
        <f>$G$8*$O$10*I25</f>
        <v>0</v>
      </c>
      <c r="K25" s="119">
        <f ca="1">$G$9*$O$9*I25</f>
        <v>0</v>
      </c>
      <c r="L25" s="120">
        <f ca="1">$G$9*I25</f>
        <v>0</v>
      </c>
    </row>
    <row r="26" spans="2:16" customFormat="1" ht="18" customHeight="1" thickBot="1" x14ac:dyDescent="0.4">
      <c r="B26" s="181" t="s">
        <v>118</v>
      </c>
      <c r="C26" s="140" t="s">
        <v>113</v>
      </c>
      <c r="D26" s="110"/>
      <c r="F26" s="111" t="str">
        <f>IF(D26&lt;&gt;0,44197,"A")</f>
        <v>A</v>
      </c>
      <c r="G26" s="109">
        <f t="shared" si="0"/>
        <v>0</v>
      </c>
      <c r="H26" s="121" t="str">
        <f>IFERROR(SMALL(F22:F29,5),"")</f>
        <v/>
      </c>
      <c r="I26" s="122">
        <f>IFERROR(VLOOKUP(H26,$F$22:$G$29,2),0)</f>
        <v>0</v>
      </c>
      <c r="J26" s="123">
        <f>$G$8*$O$10*I26</f>
        <v>0</v>
      </c>
      <c r="K26" s="123">
        <f ca="1">$G$9*$O$9*I26</f>
        <v>0</v>
      </c>
      <c r="L26" s="124">
        <f ca="1">$G$9*I26</f>
        <v>0</v>
      </c>
    </row>
    <row r="27" spans="2:16" customFormat="1" ht="18" customHeight="1" x14ac:dyDescent="0.35">
      <c r="B27" s="182"/>
      <c r="C27" s="138" t="s">
        <v>114</v>
      </c>
      <c r="D27" s="103"/>
      <c r="F27" s="111" t="str">
        <f>IF(D27&lt;&gt;0,44287,"A")</f>
        <v>A</v>
      </c>
      <c r="G27" s="109">
        <f t="shared" si="0"/>
        <v>0</v>
      </c>
    </row>
    <row r="28" spans="2:16" customFormat="1" ht="18" customHeight="1" x14ac:dyDescent="0.35">
      <c r="B28" s="182"/>
      <c r="C28" s="138" t="s">
        <v>115</v>
      </c>
      <c r="D28" s="103"/>
      <c r="F28" s="111" t="str">
        <f>IF(D28&lt;&gt;0,44378,"A")</f>
        <v>A</v>
      </c>
      <c r="G28" s="109">
        <f t="shared" si="0"/>
        <v>0</v>
      </c>
      <c r="L28" t="s">
        <v>140</v>
      </c>
      <c r="M28" t="s">
        <v>141</v>
      </c>
      <c r="O28" t="s">
        <v>135</v>
      </c>
      <c r="P28" s="133">
        <f ca="1">+G9*O9</f>
        <v>0</v>
      </c>
    </row>
    <row r="29" spans="2:16" customFormat="1" ht="18" customHeight="1" thickBot="1" x14ac:dyDescent="0.4">
      <c r="B29" s="183"/>
      <c r="C29" s="139" t="s">
        <v>116</v>
      </c>
      <c r="D29" s="104"/>
      <c r="F29" s="111" t="str">
        <f>IF(D29&lt;&gt;0,44470,"A")</f>
        <v>A</v>
      </c>
      <c r="G29" s="109">
        <f t="shared" si="0"/>
        <v>0</v>
      </c>
      <c r="J29" s="180" t="s">
        <v>139</v>
      </c>
      <c r="K29" t="s">
        <v>133</v>
      </c>
      <c r="L29" t="e">
        <f ca="1">ESL_V2!G4</f>
        <v>#DIV/0!</v>
      </c>
      <c r="M29" t="e">
        <f ca="1">O11*(O12/L29)</f>
        <v>#DIV/0!</v>
      </c>
      <c r="O29" t="s">
        <v>136</v>
      </c>
    </row>
    <row r="30" spans="2:16" customFormat="1" ht="15.5" x14ac:dyDescent="0.35">
      <c r="C30" s="141" t="s">
        <v>126</v>
      </c>
      <c r="D30" s="142">
        <f>SUM(D22:D29)</f>
        <v>0</v>
      </c>
      <c r="F30" t="s">
        <v>119</v>
      </c>
      <c r="G30" s="109">
        <f>SUM(D22:D29)</f>
        <v>0</v>
      </c>
      <c r="H30" s="105" t="str">
        <f>IF(G30&gt;1,"hai previsto di rendicontare più del 100% dell'investimento","")</f>
        <v/>
      </c>
      <c r="J30" s="180"/>
      <c r="K30" t="s">
        <v>134</v>
      </c>
      <c r="L30" s="158" t="e">
        <f ca="1">'ESL_V2 (2)'!G4</f>
        <v>#DIV/0!</v>
      </c>
      <c r="M30" t="e">
        <f ca="1">O10*(O12/L30)</f>
        <v>#DIV/0!</v>
      </c>
      <c r="O30" t="s">
        <v>137</v>
      </c>
      <c r="P30" s="132">
        <f>+G8*O10</f>
        <v>0</v>
      </c>
    </row>
    <row r="31" spans="2:16" customFormat="1" ht="38.5" customHeight="1" x14ac:dyDescent="0.35">
      <c r="B31" s="187" t="str">
        <f>IF(AND(G30&lt;1,G31&lt;5),CONCATENATE("Devi ancora indicare come pensi di rendicontare il ",(1-D30)*100,"% dell'investimento"),IF(AND(H30&lt;&gt;"",H31&lt;&gt;""),CONCATENATE("ATTENZIONE: ",H30," e ",H31),IF(OR(H30&lt;&gt;"",H31&lt;&gt;""),CONCATENATE("ATTENZIONE: ",H30,H31),"")))</f>
        <v>Devi ancora indicare come pensi di rendicontare il 100% dell'investimento</v>
      </c>
      <c r="C31" s="187"/>
      <c r="D31" s="187"/>
      <c r="F31" t="s">
        <v>120</v>
      </c>
      <c r="G31">
        <f>COUNTIF(D22:D29,"&gt;0")</f>
        <v>0</v>
      </c>
      <c r="H31" s="105" t="str">
        <f>IF(G31&gt;O17,"hai previsto di effettuare più di 5 SAL","")</f>
        <v/>
      </c>
      <c r="L31" t="e">
        <f ca="1">SUM(L29:L30)</f>
        <v>#DIV/0!</v>
      </c>
      <c r="O31" t="s">
        <v>138</v>
      </c>
    </row>
    <row r="32" spans="2:16" customFormat="1" x14ac:dyDescent="0.35">
      <c r="F32" t="s">
        <v>121</v>
      </c>
      <c r="G32">
        <f>COUNTIF(D22:D29,"&lt;0")</f>
        <v>0</v>
      </c>
    </row>
    <row r="33" spans="1:14" ht="15" thickBot="1" x14ac:dyDescent="0.4">
      <c r="A33"/>
      <c r="B33"/>
      <c r="C33"/>
      <c r="D33"/>
    </row>
    <row r="34" spans="1:14" ht="34" customHeight="1" thickBot="1" x14ac:dyDescent="0.4">
      <c r="A34"/>
      <c r="B34" s="143"/>
      <c r="C34" s="136" t="s">
        <v>145</v>
      </c>
      <c r="D34" s="136" t="s">
        <v>146</v>
      </c>
      <c r="F34" t="s">
        <v>147</v>
      </c>
      <c r="G34" t="s">
        <v>148</v>
      </c>
      <c r="H34" t="s">
        <v>149</v>
      </c>
      <c r="I34" t="s">
        <v>150</v>
      </c>
      <c r="J34" t="s">
        <v>151</v>
      </c>
      <c r="K34" t="s">
        <v>152</v>
      </c>
    </row>
    <row r="35" spans="1:14" ht="24" customHeight="1" x14ac:dyDescent="0.35">
      <c r="A35"/>
      <c r="B35" s="144" t="s">
        <v>135</v>
      </c>
      <c r="C35" s="145" t="str">
        <f ca="1">IFERROR(MIN(I35:K35),"")</f>
        <v/>
      </c>
      <c r="D35" s="146"/>
      <c r="F35" s="99">
        <f ca="1">P28</f>
        <v>0</v>
      </c>
      <c r="G35" t="e">
        <f ca="1">(C36/P28)*L29</f>
        <v>#DIV/0!</v>
      </c>
      <c r="H35" t="e">
        <f ca="1">G35/$O$12</f>
        <v>#DIV/0!</v>
      </c>
      <c r="I35" s="99">
        <f ca="1">ROUND(F35-C36,2)</f>
        <v>0</v>
      </c>
      <c r="J35" s="99">
        <f ca="1">ROUND((G9*O11)-C36-C38,2)</f>
        <v>0</v>
      </c>
      <c r="K35" s="99" t="e">
        <f ca="1">ROUND(((O12-G35-G36)/L29)*F35,2)</f>
        <v>#DIV/0!</v>
      </c>
    </row>
    <row r="36" spans="1:14" ht="24" customHeight="1" x14ac:dyDescent="0.35">
      <c r="A36"/>
      <c r="B36" s="144" t="s">
        <v>136</v>
      </c>
      <c r="C36" s="147"/>
      <c r="D36" s="148" t="str">
        <f ca="1">IFERROR(C36/G9,"")</f>
        <v/>
      </c>
      <c r="F36" s="99">
        <f>P30</f>
        <v>0</v>
      </c>
      <c r="G36" t="e">
        <f ca="1">(C38/P30)*L30</f>
        <v>#DIV/0!</v>
      </c>
      <c r="H36" t="e">
        <f ca="1">G36/$O$12</f>
        <v>#DIV/0!</v>
      </c>
      <c r="I36" s="99">
        <f>ROUND(F36-C38,2)</f>
        <v>0</v>
      </c>
      <c r="J36" s="99">
        <f ca="1">ROUND((G9*O11)-C36-C38,2)</f>
        <v>0</v>
      </c>
      <c r="K36" s="99" t="e">
        <f ca="1">ROUND(((O12-G35-G36)/L30)*F36,2)</f>
        <v>#DIV/0!</v>
      </c>
    </row>
    <row r="37" spans="1:14" ht="24" customHeight="1" x14ac:dyDescent="0.35">
      <c r="A37"/>
      <c r="B37" s="144" t="s">
        <v>137</v>
      </c>
      <c r="C37" s="149" t="str">
        <f ca="1">IFERROR(MIN(I36:K36),"")</f>
        <v/>
      </c>
      <c r="D37" s="150"/>
      <c r="G37" s="134" t="e">
        <f ca="1">SUM(G35:G36)</f>
        <v>#DIV/0!</v>
      </c>
      <c r="H37" t="e">
        <f ca="1">SUM(H35:H36)</f>
        <v>#DIV/0!</v>
      </c>
      <c r="N37" t="s">
        <v>142</v>
      </c>
    </row>
    <row r="38" spans="1:14" ht="24" customHeight="1" thickBot="1" x14ac:dyDescent="0.4">
      <c r="A38"/>
      <c r="B38" s="144" t="s">
        <v>138</v>
      </c>
      <c r="C38" s="151"/>
      <c r="D38" s="152" t="str">
        <f ca="1">IFERROR(C38/G9,"")</f>
        <v/>
      </c>
      <c r="N38" t="s">
        <v>110</v>
      </c>
    </row>
    <row r="39" spans="1:14" x14ac:dyDescent="0.35">
      <c r="A39"/>
      <c r="B39" s="154" t="s">
        <v>156</v>
      </c>
      <c r="C39" s="155">
        <f>C36+C38</f>
        <v>0</v>
      </c>
      <c r="D39" s="153" t="str">
        <f ca="1">IFERROR(D36+D38,"")</f>
        <v/>
      </c>
      <c r="F39" s="99">
        <f ca="1">(F35-C36)</f>
        <v>0</v>
      </c>
      <c r="G39" s="105" t="str">
        <f ca="1">IF(F39&lt;0,"mutuo","")</f>
        <v/>
      </c>
      <c r="N39" t="s">
        <v>143</v>
      </c>
    </row>
    <row r="40" spans="1:14" ht="10.5" customHeight="1" x14ac:dyDescent="0.35">
      <c r="A40"/>
      <c r="B40" s="160"/>
      <c r="C40" s="119"/>
      <c r="D40" s="161"/>
      <c r="F40" s="99"/>
      <c r="G40" s="105"/>
    </row>
    <row r="41" spans="1:14" ht="6.65" customHeight="1" x14ac:dyDescent="0.45">
      <c r="A41" s="188"/>
      <c r="B41" s="188"/>
      <c r="C41" s="188"/>
      <c r="D41" s="188"/>
      <c r="F41" s="99">
        <f>+F36-C38</f>
        <v>0</v>
      </c>
      <c r="G41" s="105" t="str">
        <f>IF(F41&lt;0,"fondo perduto","""")</f>
        <v>"</v>
      </c>
      <c r="N41" t="s">
        <v>144</v>
      </c>
    </row>
    <row r="42" spans="1:14" ht="10" hidden="1" customHeight="1" x14ac:dyDescent="0.35">
      <c r="A42"/>
      <c r="B42"/>
      <c r="C42"/>
      <c r="D42"/>
      <c r="I42">
        <f ca="1">ROUND(IF(AND(C36=0,C38=0),F35,
IF(C38=0,F35-C36,
IF(OR(((O11-D36-D38)*G9)+C36&gt;F35,((O11-D36-D38)*G9)+C36&gt;((1-H35-H36)*F35)),MIN(F35-C36,((1-H35-H36)*F35)),(O11-D36-D38)*G9))),2)</f>
        <v>0</v>
      </c>
    </row>
    <row r="43" spans="1:14" ht="10" hidden="1" customHeight="1" x14ac:dyDescent="0.35">
      <c r="A43"/>
      <c r="B43"/>
      <c r="C43"/>
      <c r="D43"/>
    </row>
    <row r="44" spans="1:14" ht="7" hidden="1" customHeight="1" x14ac:dyDescent="0.35">
      <c r="A44"/>
      <c r="B44"/>
      <c r="C44"/>
      <c r="D44"/>
    </row>
    <row r="45" spans="1:14" ht="124.5" customHeight="1" x14ac:dyDescent="0.35">
      <c r="A45"/>
      <c r="B45" s="179" t="str">
        <f ca="1">IFERROR(IF(OR(C35&lt;0,C37&lt;0),"Ridefinisci gli importi delle agevolazioni, eccedono i limiti concedibili.",IF(AND(C35+C37=0,C39&lt;&gt;0),_xlfn.CONCAT("La combinazione indicata utilizza il 100% degli aiuti disponibili. ATTENZIONE: Variazioni del tasso base o della classe di rischio potrebbero incidere sugli importi richiedibili."," Nel caso in cui le disponibilità finanziarie per il fondo perduto fossero esaurite ti sarà riconosciuta la possibilità di ricevere il mutuo fino al 90% dell'investimento ammissibile."," Le agevolazioni possono essere soggette alle limitazioni previste dall’art. 17 del Reg. UE 651/2014 (GBER)."),"")),"")</f>
        <v/>
      </c>
      <c r="C45" s="179"/>
      <c r="D45" s="179"/>
      <c r="I45" t="str">
        <f ca="1">IFERROR(IF(AND(C35+C37=0,C39&lt;&gt;0),_xlfn.CONCAT("La combinazione indicata utilizza il 100% degli aiuti disponibili. ATTENZIONE: Variazioni del tasso base potrebbero incidere sugli importi richiedibili."," Nel caso in cui le disponibilità finanziarie per il fondo perduto fossero esaurite ti sarà riconosciuta la possibilità di ricevere il mutuo fino al 90% dell'investimento ammissibile."," Le agevolazioni possono essere soggette alle limitazioni previste dall’art. 17 del Reg. UE 651/2014 (GBER)."),""),"")</f>
        <v/>
      </c>
    </row>
    <row r="46" spans="1:14" ht="18.649999999999999" customHeight="1" x14ac:dyDescent="0.35">
      <c r="A46" s="175" t="s">
        <v>158</v>
      </c>
    </row>
    <row r="47" spans="1:14" ht="18.649999999999999" customHeight="1" x14ac:dyDescent="0.35"/>
  </sheetData>
  <sheetProtection algorithmName="SHA-512" hashValue="70Bg+CcK48xsA5rCFD4a2X/ZKrKtAIlzSWIPKZyuf2OUejAaxlGXZTkxLsgnhyqRRmxSYO6c/eKT/UtLrtbIdg==" saltValue="Roxhxld7yomM01WJR9A/aA==" spinCount="100000" sheet="1" objects="1" scenarios="1"/>
  <protectedRanges>
    <protectedRange sqref="C8:C11" name="Intervallo2"/>
    <protectedRange sqref="C4" name="Intervallo1"/>
    <protectedRange sqref="C17" name="Intervallo3"/>
    <protectedRange sqref="D22:D29" name="Intervallo4"/>
    <protectedRange sqref="C36" name="Intervallo5"/>
    <protectedRange sqref="C38" name="Intervallo6"/>
  </protectedRanges>
  <mergeCells count="10">
    <mergeCell ref="A46:D1048576"/>
    <mergeCell ref="B14:D14"/>
    <mergeCell ref="B16:C16"/>
    <mergeCell ref="B45:D45"/>
    <mergeCell ref="J29:J30"/>
    <mergeCell ref="B22:B25"/>
    <mergeCell ref="B26:B29"/>
    <mergeCell ref="B20:D20"/>
    <mergeCell ref="B31:D31"/>
    <mergeCell ref="A41:D41"/>
  </mergeCells>
  <conditionalFormatting sqref="B14:D15">
    <cfRule type="notContainsBlanks" dxfId="3" priority="8">
      <formula>LEN(TRIM(B14))&gt;0</formula>
    </cfRule>
  </conditionalFormatting>
  <conditionalFormatting sqref="B45:D45">
    <cfRule type="notContainsBlanks" dxfId="2" priority="5">
      <formula>LEN(TRIM(B45))&gt;0</formula>
    </cfRule>
  </conditionalFormatting>
  <conditionalFormatting sqref="C35">
    <cfRule type="expression" dxfId="1" priority="2">
      <formula>$C$35&lt;0</formula>
    </cfRule>
  </conditionalFormatting>
  <conditionalFormatting sqref="C37">
    <cfRule type="expression" dxfId="0" priority="1">
      <formula>$C$37&lt;0</formula>
    </cfRule>
  </conditionalFormatting>
  <dataValidations count="3">
    <dataValidation type="list" allowBlank="1" showInputMessage="1" showErrorMessage="1" sqref="C4" xr:uid="{00000000-0002-0000-0200-000000000000}">
      <formula1>"SI,NO"</formula1>
    </dataValidation>
    <dataValidation type="decimal" allowBlank="1" showInputMessage="1" showErrorMessage="1" errorTitle="ERRORE RENDICONTAZIONE" error="Non è possibile rendicontare più del 100% dell'investimento ammesso e meno del 10% sul singolo SAL._x000a_" sqref="D22:D29" xr:uid="{00000000-0002-0000-0200-000001000000}">
      <formula1>0.1</formula1>
      <formula2>1</formula2>
    </dataValidation>
    <dataValidation type="decimal" errorStyle="information" allowBlank="1" showInputMessage="1" showErrorMessage="1" errorTitle="AMMISSIBILITA' SPESA" error="ATTENZIONE: L'acquisto dell'immobile è una spesa ammissibile solo nei casi in cui l'impresa operi nel settore del turismo." sqref="C8" xr:uid="{00000000-0002-0000-0200-000002000000}">
      <formula1>0</formula1>
      <formula2>E4</formula2>
    </dataValidation>
  </dataValidations>
  <hyperlinks>
    <hyperlink ref="B16" r:id="rId1" xr:uid="{00000000-0004-0000-0200-000000000000}"/>
  </hyperlinks>
  <pageMargins left="0.25" right="0.25" top="0.75" bottom="0.75" header="0.3" footer="0.3"/>
  <pageSetup scale="65"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A6D3DB03F26E849AEC2193C61159BFB" ma:contentTypeVersion="6" ma:contentTypeDescription="Creare un nuovo documento." ma:contentTypeScope="" ma:versionID="2bbdf60cafc26ea91104ebf5b0d6cc20">
  <xsd:schema xmlns:xsd="http://www.w3.org/2001/XMLSchema" xmlns:xs="http://www.w3.org/2001/XMLSchema" xmlns:p="http://schemas.microsoft.com/office/2006/metadata/properties" xmlns:ns2="1d6a5960-ca07-4423-a450-a14c13fed246" xmlns:ns3="b7957999-1fb1-4b94-a26e-175b0f633963" targetNamespace="http://schemas.microsoft.com/office/2006/metadata/properties" ma:root="true" ma:fieldsID="f92c7e2489a28a7c7b46199de043c7be" ns2:_="" ns3:_="">
    <xsd:import namespace="1d6a5960-ca07-4423-a450-a14c13fed246"/>
    <xsd:import namespace="b7957999-1fb1-4b94-a26e-175b0f6339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6a5960-ca07-4423-a450-a14c13fed2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957999-1fb1-4b94-a26e-175b0f63396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708383-9087-4311-9D55-DBECD549A9BA}">
  <ds:schemaRefs>
    <ds:schemaRef ds:uri="http://schemas.microsoft.com/sharepoint/v3/contenttype/forms"/>
  </ds:schemaRefs>
</ds:datastoreItem>
</file>

<file path=customXml/itemProps2.xml><?xml version="1.0" encoding="utf-8"?>
<ds:datastoreItem xmlns:ds="http://schemas.openxmlformats.org/officeDocument/2006/customXml" ds:itemID="{C3B5C50B-9C46-44D6-990E-F5C208BF8C70}">
  <ds:schemaRefs>
    <ds:schemaRef ds:uri="1d6a5960-ca07-4423-a450-a14c13fed246"/>
    <ds:schemaRef ds:uri="http://purl.org/dc/term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b7957999-1fb1-4b94-a26e-175b0f633963"/>
    <ds:schemaRef ds:uri="http://www.w3.org/XML/1998/namespace"/>
    <ds:schemaRef ds:uri="http://purl.org/dc/dcmitype/"/>
  </ds:schemaRefs>
</ds:datastoreItem>
</file>

<file path=customXml/itemProps3.xml><?xml version="1.0" encoding="utf-8"?>
<ds:datastoreItem xmlns:ds="http://schemas.openxmlformats.org/officeDocument/2006/customXml" ds:itemID="{706CBC47-D262-4AE8-A28D-493A5BAE96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6a5960-ca07-4423-a450-a14c13fed246"/>
    <ds:schemaRef ds:uri="b7957999-1fb1-4b94-a26e-175b0f6339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ESL_V2</vt:lpstr>
      <vt:lpstr>ESL_V2 (2)</vt:lpstr>
      <vt:lpstr>Foglio1</vt:lpstr>
      <vt:lpstr>Foglio1!Area_stampa</vt:lpstr>
    </vt:vector>
  </TitlesOfParts>
  <Company>INVITALIA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Crebelli Matteo</dc:creator>
  <cp:lastModifiedBy>Crebelli Matteo</cp:lastModifiedBy>
  <cp:lastPrinted>2021-04-20T09:26:45Z</cp:lastPrinted>
  <dcterms:created xsi:type="dcterms:W3CDTF">2020-01-07T15:48:39Z</dcterms:created>
  <dcterms:modified xsi:type="dcterms:W3CDTF">2022-07-19T16:10:42Z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0x0101008A6D3DB03F26E849AEC2193C61159BFB</vt:lpwstr>
  </property>
</Properties>
</file>